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3.xml" ContentType="application/vnd.openxmlformats-officedocument.drawing+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drawings/drawing4.xml" ContentType="application/vnd.openxmlformats-officedocument.drawing+xml"/>
  <Override PartName="/xl/tables/table13.xml" ContentType="application/vnd.openxmlformats-officedocument.spreadsheetml.table+xml"/>
  <Override PartName="/xl/drawings/drawing5.xml" ContentType="application/vnd.openxmlformats-officedocument.drawing+xml"/>
  <Override PartName="/xl/tables/table14.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tables/table15.xml" ContentType="application/vnd.openxmlformats-officedocument.spreadsheetml.table+xml"/>
  <Override PartName="/xl/drawings/drawing8.xml" ContentType="application/vnd.openxmlformats-officedocument.drawing+xml"/>
  <Override PartName="/xl/tables/table16.xml" ContentType="application/vnd.openxmlformats-officedocument.spreadsheetml.table+xml"/>
  <Override PartName="/xl/drawings/drawing9.xml" ContentType="application/vnd.openxmlformats-officedocument.drawing+xml"/>
  <Override PartName="/xl/tables/table17.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codeName="ThisWorkbook" defaultThemeVersion="166925"/>
  <mc:AlternateContent xmlns:mc="http://schemas.openxmlformats.org/markup-compatibility/2006">
    <mc:Choice Requires="x15">
      <x15ac:absPath xmlns:x15ac="http://schemas.microsoft.com/office/spreadsheetml/2010/11/ac" url="https://d.docs.live.net/a56bd63e6ab58abd/501 - Banco de Bogotá - Acompañamiento Proveedores/2023/Sesiones de formación/Huella de carbono/Sesión 3/"/>
    </mc:Choice>
  </mc:AlternateContent>
  <xr:revisionPtr revIDLastSave="1" documentId="13_ncr:1_{243F49DF-926E-4D96-B173-793F76B0D280}" xr6:coauthVersionLast="47" xr6:coauthVersionMax="47" xr10:uidLastSave="{B0C5A13C-92E1-4C09-A16A-3148063D134D}"/>
  <bookViews>
    <workbookView xWindow="-120" yWindow="-120" windowWidth="20730" windowHeight="11160" tabRatio="805" xr2:uid="{C9E362BB-C293-4B14-A039-2CB0B81AC03C}"/>
  </bookViews>
  <sheets>
    <sheet name="Introduction" sheetId="1" r:id="rId1"/>
    <sheet name="Instructions" sheetId="16" r:id="rId2"/>
    <sheet name="Parameters" sheetId="3" r:id="rId3"/>
    <sheet name="Emission Factors" sheetId="15" r:id="rId4"/>
    <sheet name="S1-Stationary Combustion" sheetId="5" r:id="rId5"/>
    <sheet name="S1-Mobile Combustion" sheetId="13" r:id="rId6"/>
    <sheet name="S1-Refrigerants" sheetId="7" r:id="rId7"/>
    <sheet name="S2-Purchased Electricity" sheetId="8" r:id="rId8"/>
    <sheet name="S3-Transportation" sheetId="6" r:id="rId9"/>
    <sheet name="Results Summary" sheetId="4" r:id="rId10"/>
    <sheet name="Dropdowns" sheetId="9" r:id="rId11"/>
    <sheet name="Conversions" sheetId="2" r:id="rId12"/>
    <sheet name="Data" sheetId="11" r:id="rId13"/>
  </sheets>
  <externalReferences>
    <externalReference r:id="rId14"/>
  </externalReferences>
  <definedNames>
    <definedName name="_xlnm.Print_Area" localSheetId="0">Introduction!$A$1:$O$46</definedName>
    <definedName name="_xlnm.Print_Area" localSheetId="9">'Results Summary'!$B$9:$L$119</definedName>
    <definedName name="Aviation_Gasoline">Dropdowns!$P$52</definedName>
    <definedName name="Biodiesel">Dropdowns!$P$39:$P$42</definedName>
    <definedName name="CNG">Dropdowns!$P$44:$P$45</definedName>
    <definedName name="DEFRA_EC_BT">Dropdowns!$Q$14:$Q$27</definedName>
    <definedName name="Diesel_Fuel">Dropdowns!$P$31:$P$37</definedName>
    <definedName name="EC_BT_UK_DEFRA_Air">Dropdowns!$R$32:$R$45</definedName>
    <definedName name="EC_BT_UK_DEFRA_Air_RF">Dropdowns!$R$89:$R$102</definedName>
    <definedName name="EC_BT_UK_DEFRA_Bus">Dropdowns!$R$28</definedName>
    <definedName name="EC_BT_UK_DEFRA_Car">Dropdowns!$R$18:$R$27</definedName>
    <definedName name="EC_BT_UK_DEFRA_Ferry">Dropdowns!$R$46</definedName>
    <definedName name="EC_BT_UK_DEFRA_Rail">Dropdowns!$R$29:$R$31</definedName>
    <definedName name="EC_BT_US_EPA_Air">Dropdowns!$R$14:$R$16</definedName>
    <definedName name="EC_BT_US_EPA_Bus">Dropdowns!$R$13</definedName>
    <definedName name="EC_BT_US_EPA_Car">Dropdowns!$R$7:$R$9</definedName>
    <definedName name="EC_BT_US_EPA_Rail">Dropdowns!$R$10:$R$12</definedName>
    <definedName name="Ethanol">Dropdowns!$P$47:$P$48</definedName>
    <definedName name="Facility_ID">Parameters!$G$43:$G$52</definedName>
    <definedName name="Fuel_Source">Dropdowns!$O$2:$O$8</definedName>
    <definedName name="Fuel_Source_Dropdown">Dropdowns!$O$13:$P$19</definedName>
    <definedName name="Heat_Steam">Dropdowns!$S$16:$S$17</definedName>
    <definedName name="Jet_Fuel">Dropdowns!$P$50</definedName>
    <definedName name="Location_Based_EF">Dropdowns!$S$12:$S$13</definedName>
    <definedName name="Market_Based_EF">Dropdowns!$S$7:$S$9</definedName>
    <definedName name="Motor_Gasoline">Dropdowns!$P$22:$P$29</definedName>
    <definedName name="PE_Heat_Custom_EF">Parameters!$S$65:$S$94</definedName>
    <definedName name="PE_LB_Custom_EF">Parameters!$U$65:$U$94</definedName>
    <definedName name="PE_MB_Custom_EF">Parameters!$T$65:$T$94</definedName>
    <definedName name="S1_MC_Custom_EF">Parameters!$Q$65:$Q$94</definedName>
    <definedName name="S1_Ref_Custom_EF">Parameters!$R$65:$R$94</definedName>
    <definedName name="S1_SC_Custom_EF">Parameters!$P$65:$P$94</definedName>
    <definedName name="S3_Custom_EF">Parameters!$V$65:$V$94</definedName>
    <definedName name="Scope3_Dropdown">Dropdowns!$Q$2:$R$4</definedName>
    <definedName name="Std_Units">[1]REF_Conversions!$A$8:$B$104</definedName>
    <definedName name="T_D_UK_DEFRA_Air">Dropdowns!$R$69:$R$72</definedName>
    <definedName name="T_D_UK_DEFRA_Air_RF">Dropdowns!$R$105:$R$108</definedName>
    <definedName name="T_D_UK_DEFRA_Car">Dropdowns!$R$57:$R$68</definedName>
    <definedName name="T_D_UK_DEFRA_Ferry">Dropdowns!$R$74:$R$85</definedName>
    <definedName name="T_D_UK_DEFRA_Rail">Dropdowns!$R$73</definedName>
    <definedName name="T_D_US_EPA_Air">Dropdowns!$R$54</definedName>
    <definedName name="T_D_US_EPA_Car">Dropdowns!$R$48:$R$50</definedName>
    <definedName name="T_D_US_EPA_Ferry">Dropdowns!$R$53</definedName>
    <definedName name="T_D_US_EPA_Rail">Dropdowns!$R$52</definedName>
    <definedName name="UK_DEFRA">Dropdowns!$D$3</definedName>
    <definedName name="US_EPA">Dropdowns!$D$2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5" i="13" l="1"/>
  <c r="I22" i="5"/>
  <c r="M29" i="6"/>
  <c r="AD35" i="7"/>
  <c r="W35" i="7"/>
  <c r="K65" i="3"/>
  <c r="O49" i="6"/>
  <c r="O48" i="6"/>
  <c r="O47" i="6"/>
  <c r="O46" i="6"/>
  <c r="O45" i="6"/>
  <c r="O44" i="6"/>
  <c r="O43" i="6"/>
  <c r="O42" i="6"/>
  <c r="O41" i="6"/>
  <c r="O40" i="6"/>
  <c r="O39" i="6"/>
  <c r="O38" i="6"/>
  <c r="O37" i="6"/>
  <c r="O36" i="6"/>
  <c r="O35" i="6"/>
  <c r="O34" i="6"/>
  <c r="O33" i="6"/>
  <c r="O32" i="6"/>
  <c r="O31" i="6"/>
  <c r="O30" i="6"/>
  <c r="O29" i="6"/>
  <c r="O28" i="6"/>
  <c r="O27" i="6"/>
  <c r="O26" i="6"/>
  <c r="L25" i="13"/>
  <c r="M22" i="5"/>
  <c r="M23" i="5"/>
  <c r="M24" i="5"/>
  <c r="M25" i="5"/>
  <c r="M26" i="5"/>
  <c r="M27" i="5"/>
  <c r="M28" i="5"/>
  <c r="M29" i="5"/>
  <c r="M30" i="5"/>
  <c r="M31" i="5"/>
  <c r="M32" i="5"/>
  <c r="M33" i="5"/>
  <c r="M34" i="5"/>
  <c r="M35" i="5"/>
  <c r="M36" i="5"/>
  <c r="M37" i="5"/>
  <c r="M38" i="5"/>
  <c r="M39" i="5"/>
  <c r="M40" i="5"/>
  <c r="M41" i="5"/>
  <c r="M42" i="5"/>
  <c r="M43" i="5"/>
  <c r="M44" i="5"/>
  <c r="M45" i="5"/>
  <c r="M46" i="5"/>
  <c r="M47" i="5"/>
  <c r="M48" i="5"/>
  <c r="M49" i="5"/>
  <c r="M50" i="5"/>
  <c r="M51" i="5"/>
  <c r="M52" i="5"/>
  <c r="M53" i="5"/>
  <c r="M54" i="5"/>
  <c r="M55" i="5"/>
  <c r="M56" i="5"/>
  <c r="M57" i="5"/>
  <c r="M58" i="5"/>
  <c r="M59" i="5"/>
  <c r="M60" i="5"/>
  <c r="M61" i="5"/>
  <c r="M62" i="5"/>
  <c r="M63" i="5"/>
  <c r="M64" i="5"/>
  <c r="M65" i="5"/>
  <c r="M66" i="5"/>
  <c r="M67" i="5"/>
  <c r="M68" i="5"/>
  <c r="M69" i="5"/>
  <c r="M70" i="5"/>
  <c r="M71" i="5"/>
  <c r="M72" i="5"/>
  <c r="M73" i="5"/>
  <c r="M74" i="5"/>
  <c r="L27" i="8" l="1"/>
  <c r="L28" i="8"/>
  <c r="L29" i="8"/>
  <c r="L30" i="8"/>
  <c r="L31" i="8"/>
  <c r="L32" i="8"/>
  <c r="L33" i="8"/>
  <c r="L34" i="8"/>
  <c r="L35" i="8"/>
  <c r="L36" i="8"/>
  <c r="L37" i="8"/>
  <c r="L38" i="8"/>
  <c r="L39" i="8"/>
  <c r="L40" i="8"/>
  <c r="L41" i="8"/>
  <c r="L42" i="8"/>
  <c r="L43" i="8"/>
  <c r="L44" i="8"/>
  <c r="L45" i="8"/>
  <c r="L46" i="8"/>
  <c r="L47" i="8"/>
  <c r="L48" i="8"/>
  <c r="L49" i="8"/>
  <c r="L50" i="8"/>
  <c r="L51" i="8"/>
  <c r="L52" i="8"/>
  <c r="L53" i="8"/>
  <c r="L54" i="8"/>
  <c r="L55" i="8"/>
  <c r="L56" i="8"/>
  <c r="L57" i="8"/>
  <c r="L58" i="8"/>
  <c r="L59" i="8"/>
  <c r="L60" i="8"/>
  <c r="L61" i="8"/>
  <c r="L62" i="8"/>
  <c r="L63" i="8"/>
  <c r="K27" i="8"/>
  <c r="K28" i="8"/>
  <c r="K29" i="8"/>
  <c r="K30" i="8"/>
  <c r="K31" i="8"/>
  <c r="K32" i="8"/>
  <c r="K33" i="8"/>
  <c r="K34" i="8"/>
  <c r="K35" i="8"/>
  <c r="K36" i="8"/>
  <c r="K37" i="8"/>
  <c r="K38" i="8"/>
  <c r="K39" i="8"/>
  <c r="K40" i="8"/>
  <c r="K41" i="8"/>
  <c r="K42" i="8"/>
  <c r="K43" i="8"/>
  <c r="K44" i="8"/>
  <c r="K45" i="8"/>
  <c r="K46" i="8"/>
  <c r="K47" i="8"/>
  <c r="K48" i="8"/>
  <c r="K49" i="8"/>
  <c r="K50" i="8"/>
  <c r="K51" i="8"/>
  <c r="K52" i="8"/>
  <c r="K53" i="8"/>
  <c r="K54" i="8"/>
  <c r="K55" i="8"/>
  <c r="K56" i="8"/>
  <c r="K57" i="8"/>
  <c r="K58" i="8"/>
  <c r="K59" i="8"/>
  <c r="K60" i="8"/>
  <c r="K61" i="8"/>
  <c r="K62" i="8"/>
  <c r="K63" i="8"/>
  <c r="J27" i="8"/>
  <c r="J28" i="8"/>
  <c r="J29" i="8"/>
  <c r="J30" i="8"/>
  <c r="J31" i="8"/>
  <c r="J32" i="8"/>
  <c r="J33" i="8"/>
  <c r="J34" i="8"/>
  <c r="J35" i="8"/>
  <c r="J36" i="8"/>
  <c r="J37" i="8"/>
  <c r="J38" i="8"/>
  <c r="J39" i="8"/>
  <c r="J40" i="8"/>
  <c r="J41" i="8"/>
  <c r="J42" i="8"/>
  <c r="J43" i="8"/>
  <c r="J44" i="8"/>
  <c r="J45" i="8"/>
  <c r="J46" i="8"/>
  <c r="J47" i="8"/>
  <c r="J48" i="8"/>
  <c r="J49" i="8"/>
  <c r="J50" i="8"/>
  <c r="J51" i="8"/>
  <c r="J52" i="8"/>
  <c r="J53" i="8"/>
  <c r="J54" i="8"/>
  <c r="J55" i="8"/>
  <c r="J56" i="8"/>
  <c r="J57" i="8"/>
  <c r="J58" i="8"/>
  <c r="J59" i="8"/>
  <c r="J60" i="8"/>
  <c r="J61" i="8"/>
  <c r="J62" i="8"/>
  <c r="J63" i="8"/>
  <c r="S94" i="3" a="1"/>
  <c r="S94" i="3" s="1"/>
  <c r="S93" i="3" a="1"/>
  <c r="S93" i="3" s="1"/>
  <c r="S92" i="3" a="1"/>
  <c r="S92" i="3" s="1"/>
  <c r="S91" i="3" a="1"/>
  <c r="S91" i="3" s="1"/>
  <c r="S90" i="3" a="1"/>
  <c r="S90" i="3" s="1"/>
  <c r="S89" i="3" a="1"/>
  <c r="S89" i="3" s="1"/>
  <c r="S88" i="3" a="1"/>
  <c r="S88" i="3" s="1"/>
  <c r="S87" i="3" a="1"/>
  <c r="S87" i="3" s="1"/>
  <c r="S86" i="3" a="1"/>
  <c r="S86" i="3" s="1"/>
  <c r="S85" i="3" a="1"/>
  <c r="S85" i="3" s="1"/>
  <c r="S84" i="3" a="1"/>
  <c r="S84" i="3" s="1"/>
  <c r="S83" i="3" a="1"/>
  <c r="S83" i="3" s="1"/>
  <c r="S82" i="3" a="1"/>
  <c r="S82" i="3" s="1"/>
  <c r="S81" i="3" a="1"/>
  <c r="S81" i="3" s="1"/>
  <c r="S80" i="3" a="1"/>
  <c r="S80" i="3" s="1"/>
  <c r="S79" i="3" a="1"/>
  <c r="S79" i="3" s="1"/>
  <c r="S78" i="3" a="1"/>
  <c r="S78" i="3" s="1"/>
  <c r="S77" i="3" a="1"/>
  <c r="S77" i="3" s="1"/>
  <c r="S76" i="3" a="1"/>
  <c r="S76" i="3" s="1"/>
  <c r="S75" i="3" a="1"/>
  <c r="S75" i="3" s="1"/>
  <c r="S74" i="3" a="1"/>
  <c r="S74" i="3" s="1"/>
  <c r="S73" i="3" a="1"/>
  <c r="S73" i="3" s="1"/>
  <c r="S72" i="3" a="1"/>
  <c r="S72" i="3" s="1"/>
  <c r="S71" i="3" a="1"/>
  <c r="S71" i="3" s="1"/>
  <c r="S70" i="3" a="1"/>
  <c r="S70" i="3" s="1"/>
  <c r="S69" i="3" a="1"/>
  <c r="S69" i="3" s="1"/>
  <c r="S68" i="3" a="1"/>
  <c r="S68" i="3" s="1"/>
  <c r="S67" i="3" a="1"/>
  <c r="S67" i="3" s="1"/>
  <c r="S65" i="3" a="1"/>
  <c r="S65" i="3" s="1"/>
  <c r="S66" i="3" a="1"/>
  <c r="S66" i="3" s="1"/>
  <c r="O27" i="8"/>
  <c r="O29" i="8"/>
  <c r="O30" i="8"/>
  <c r="O31" i="8"/>
  <c r="O32" i="8"/>
  <c r="O33" i="8"/>
  <c r="O34" i="8"/>
  <c r="O35" i="8"/>
  <c r="O36" i="8"/>
  <c r="O37" i="8"/>
  <c r="O38" i="8"/>
  <c r="O39" i="8"/>
  <c r="O40" i="8"/>
  <c r="O41" i="8"/>
  <c r="O42" i="8"/>
  <c r="O43" i="8"/>
  <c r="O44" i="8"/>
  <c r="O45" i="8"/>
  <c r="O46" i="8"/>
  <c r="O47" i="8"/>
  <c r="O48" i="8"/>
  <c r="O49" i="8"/>
  <c r="O50" i="8"/>
  <c r="O51" i="8"/>
  <c r="O52" i="8"/>
  <c r="O53" i="8"/>
  <c r="O54" i="8"/>
  <c r="O55" i="8"/>
  <c r="O56" i="8"/>
  <c r="O57" i="8"/>
  <c r="O58" i="8"/>
  <c r="O59" i="8"/>
  <c r="O60" i="8"/>
  <c r="O61" i="8"/>
  <c r="O62" i="8"/>
  <c r="O63" i="8"/>
  <c r="N30" i="8"/>
  <c r="N31" i="8"/>
  <c r="N32" i="8"/>
  <c r="N33" i="8"/>
  <c r="N34" i="8"/>
  <c r="N35" i="8"/>
  <c r="N36" i="8"/>
  <c r="N37" i="8"/>
  <c r="N38" i="8"/>
  <c r="N39" i="8"/>
  <c r="N40" i="8"/>
  <c r="N41" i="8"/>
  <c r="N42" i="8"/>
  <c r="N43" i="8"/>
  <c r="N44" i="8"/>
  <c r="N45" i="8"/>
  <c r="N46" i="8"/>
  <c r="N47" i="8"/>
  <c r="N48" i="8"/>
  <c r="N49" i="8"/>
  <c r="N50" i="8"/>
  <c r="N51" i="8"/>
  <c r="N52" i="8"/>
  <c r="N53" i="8"/>
  <c r="N54" i="8"/>
  <c r="N55" i="8"/>
  <c r="N56" i="8"/>
  <c r="N57" i="8"/>
  <c r="N58" i="8"/>
  <c r="N59" i="8"/>
  <c r="N60" i="8"/>
  <c r="N61" i="8"/>
  <c r="N62" i="8"/>
  <c r="N63" i="8"/>
  <c r="F45" i="3" l="1"/>
  <c r="F46" i="3"/>
  <c r="F47" i="3"/>
  <c r="F48" i="3"/>
  <c r="F49" i="3"/>
  <c r="F50" i="3"/>
  <c r="F51" i="3"/>
  <c r="F52" i="3"/>
  <c r="F44" i="3"/>
  <c r="F43" i="3"/>
  <c r="O28" i="8" l="1"/>
  <c r="N28" i="8"/>
  <c r="AG96" i="7"/>
  <c r="AG97" i="7"/>
  <c r="AG98" i="7"/>
  <c r="AG99" i="7"/>
  <c r="AG100" i="7"/>
  <c r="AG101" i="7"/>
  <c r="AG102" i="7"/>
  <c r="AG103" i="7"/>
  <c r="AG104" i="7"/>
  <c r="AG105" i="7"/>
  <c r="AG106" i="7"/>
  <c r="AG107" i="7"/>
  <c r="AG108" i="7"/>
  <c r="AG109" i="7"/>
  <c r="AG110" i="7"/>
  <c r="AG111" i="7"/>
  <c r="AG112" i="7"/>
  <c r="AG95" i="7"/>
  <c r="AF82" i="7"/>
  <c r="AF66" i="7"/>
  <c r="AF67" i="7"/>
  <c r="AF68" i="7"/>
  <c r="AF69" i="7"/>
  <c r="AF70" i="7"/>
  <c r="AF71" i="7"/>
  <c r="AF72" i="7"/>
  <c r="AF73" i="7"/>
  <c r="AF74" i="7"/>
  <c r="AF75" i="7"/>
  <c r="AF76" i="7"/>
  <c r="AF77" i="7"/>
  <c r="AF78" i="7"/>
  <c r="AF79" i="7"/>
  <c r="AF80" i="7"/>
  <c r="AF81" i="7"/>
  <c r="AF65" i="7"/>
  <c r="AG41" i="7"/>
  <c r="AG36" i="7"/>
  <c r="AG37" i="7"/>
  <c r="AG38" i="7"/>
  <c r="AG39" i="7"/>
  <c r="AG40" i="7"/>
  <c r="AG42" i="7"/>
  <c r="AG43" i="7"/>
  <c r="AG44" i="7"/>
  <c r="AG45" i="7"/>
  <c r="AG46" i="7"/>
  <c r="AG47" i="7"/>
  <c r="AG48" i="7"/>
  <c r="AG49" i="7"/>
  <c r="AG50" i="7"/>
  <c r="AG51" i="7"/>
  <c r="AG52" i="7"/>
  <c r="AG35" i="7"/>
  <c r="G1064" i="15"/>
  <c r="E1064" i="15"/>
  <c r="E152" i="2"/>
  <c r="R27" i="6" l="1"/>
  <c r="R28" i="6"/>
  <c r="R29" i="6"/>
  <c r="R30" i="6"/>
  <c r="R31" i="6"/>
  <c r="R32" i="6"/>
  <c r="R33" i="6"/>
  <c r="R34" i="6"/>
  <c r="R35" i="6"/>
  <c r="R37" i="6"/>
  <c r="R38" i="6"/>
  <c r="R39" i="6"/>
  <c r="R40" i="6"/>
  <c r="R41" i="6"/>
  <c r="R42" i="6"/>
  <c r="R43" i="6"/>
  <c r="R44" i="6"/>
  <c r="R45" i="6"/>
  <c r="R46" i="6"/>
  <c r="R47" i="6"/>
  <c r="R49" i="6"/>
  <c r="Q24" i="13"/>
  <c r="Q27" i="13"/>
  <c r="Q28" i="13"/>
  <c r="Q29" i="13"/>
  <c r="Q30" i="13"/>
  <c r="Q31" i="13"/>
  <c r="Q32" i="13"/>
  <c r="Q33" i="13"/>
  <c r="Q34" i="13"/>
  <c r="Q35" i="13"/>
  <c r="Q36" i="13"/>
  <c r="Q37" i="13"/>
  <c r="Q38" i="13"/>
  <c r="Q39" i="13"/>
  <c r="Q40" i="13"/>
  <c r="Q41" i="13"/>
  <c r="Q42" i="13"/>
  <c r="Q43" i="13"/>
  <c r="Q44" i="13"/>
  <c r="Q45" i="13"/>
  <c r="Q46" i="13"/>
  <c r="Q47" i="13"/>
  <c r="Q48" i="13"/>
  <c r="N73" i="5"/>
  <c r="N72" i="5"/>
  <c r="N71" i="5"/>
  <c r="N70" i="5"/>
  <c r="N69" i="5"/>
  <c r="N68" i="5"/>
  <c r="N67" i="5"/>
  <c r="N66" i="5"/>
  <c r="N65" i="5"/>
  <c r="N64" i="5"/>
  <c r="N63" i="5"/>
  <c r="N62" i="5"/>
  <c r="N61" i="5"/>
  <c r="N60" i="5"/>
  <c r="N59" i="5"/>
  <c r="N58" i="5"/>
  <c r="N57" i="5"/>
  <c r="N56" i="5"/>
  <c r="N55" i="5"/>
  <c r="N54" i="5"/>
  <c r="N53" i="5"/>
  <c r="N52" i="5"/>
  <c r="N51" i="5"/>
  <c r="N50" i="5"/>
  <c r="N49" i="5"/>
  <c r="N48" i="5"/>
  <c r="N47" i="5"/>
  <c r="N46" i="5"/>
  <c r="N45" i="5"/>
  <c r="N44" i="5"/>
  <c r="N43" i="5"/>
  <c r="N42" i="5"/>
  <c r="N41" i="5"/>
  <c r="N40" i="5"/>
  <c r="N39" i="5"/>
  <c r="N38" i="5"/>
  <c r="N37" i="5"/>
  <c r="N36" i="5"/>
  <c r="N35" i="5"/>
  <c r="N34" i="5"/>
  <c r="N33" i="5"/>
  <c r="N32" i="5"/>
  <c r="N31" i="5"/>
  <c r="N30" i="5"/>
  <c r="N29" i="5"/>
  <c r="N28" i="5"/>
  <c r="N27" i="5"/>
  <c r="N26" i="5"/>
  <c r="N25" i="5"/>
  <c r="N24" i="5"/>
  <c r="M27" i="8" l="1"/>
  <c r="M29" i="8"/>
  <c r="M28" i="8"/>
  <c r="J22" i="5" l="1"/>
  <c r="M30" i="8"/>
  <c r="M31" i="8"/>
  <c r="M32" i="8"/>
  <c r="M33" i="8"/>
  <c r="M34" i="8"/>
  <c r="M35" i="8"/>
  <c r="M36" i="8"/>
  <c r="M37" i="8"/>
  <c r="M38" i="8"/>
  <c r="M39" i="8"/>
  <c r="M40" i="8"/>
  <c r="M41" i="8"/>
  <c r="M42" i="8"/>
  <c r="M43" i="8"/>
  <c r="M44" i="8"/>
  <c r="M45" i="8"/>
  <c r="M46" i="8"/>
  <c r="M47" i="8"/>
  <c r="M48" i="8"/>
  <c r="M49" i="8"/>
  <c r="M50" i="8"/>
  <c r="M51" i="8"/>
  <c r="M52" i="8"/>
  <c r="M53" i="8"/>
  <c r="M54" i="8"/>
  <c r="M55" i="8"/>
  <c r="M56" i="8"/>
  <c r="M57" i="8"/>
  <c r="M58" i="8"/>
  <c r="M59" i="8"/>
  <c r="M60" i="8"/>
  <c r="M61" i="8"/>
  <c r="M62" i="8"/>
  <c r="M63" i="8"/>
  <c r="M31" i="6"/>
  <c r="L28" i="13"/>
  <c r="J30" i="13"/>
  <c r="J31" i="13"/>
  <c r="J32" i="13"/>
  <c r="J33" i="13"/>
  <c r="J34" i="13"/>
  <c r="J35" i="13"/>
  <c r="J36" i="13"/>
  <c r="J37" i="13"/>
  <c r="J38" i="13"/>
  <c r="J39" i="13"/>
  <c r="J40" i="13"/>
  <c r="J41" i="13"/>
  <c r="J42" i="13"/>
  <c r="J43" i="13"/>
  <c r="J44" i="13"/>
  <c r="J45" i="13"/>
  <c r="J46" i="13"/>
  <c r="J47" i="13"/>
  <c r="J48" i="13"/>
  <c r="X57" i="4" l="1" a="1"/>
  <c r="X57" i="4" s="1"/>
  <c r="D12" i="4" l="1"/>
  <c r="D11" i="4"/>
  <c r="W42" i="3"/>
  <c r="W64" i="3"/>
  <c r="M26" i="6"/>
  <c r="P24" i="13"/>
  <c r="P25" i="13"/>
  <c r="P26" i="13"/>
  <c r="P27" i="13"/>
  <c r="P29" i="13"/>
  <c r="P30" i="13"/>
  <c r="P31" i="13"/>
  <c r="P32" i="13"/>
  <c r="P33" i="13"/>
  <c r="P34" i="13"/>
  <c r="P35" i="13"/>
  <c r="P36" i="13"/>
  <c r="P37" i="13"/>
  <c r="P38" i="13"/>
  <c r="P39" i="13"/>
  <c r="P40" i="13"/>
  <c r="P41" i="13"/>
  <c r="P42" i="13"/>
  <c r="P43" i="13"/>
  <c r="P44" i="13"/>
  <c r="P45" i="13"/>
  <c r="P46" i="13"/>
  <c r="P47" i="13"/>
  <c r="P48" i="13"/>
  <c r="N24" i="13"/>
  <c r="N25" i="13"/>
  <c r="N26" i="13"/>
  <c r="N27" i="13"/>
  <c r="N29" i="13"/>
  <c r="N30" i="13"/>
  <c r="N31" i="13"/>
  <c r="N32" i="13"/>
  <c r="N33" i="13"/>
  <c r="N34" i="13"/>
  <c r="N35" i="13"/>
  <c r="N36" i="13"/>
  <c r="N37" i="13"/>
  <c r="N38" i="13"/>
  <c r="N39" i="13"/>
  <c r="N40" i="13"/>
  <c r="N41" i="13"/>
  <c r="N42" i="13"/>
  <c r="N43" i="13"/>
  <c r="N44" i="13"/>
  <c r="N45" i="13"/>
  <c r="N46" i="13"/>
  <c r="N47" i="13"/>
  <c r="N48" i="13"/>
  <c r="M24" i="13"/>
  <c r="M26" i="13"/>
  <c r="M27" i="13"/>
  <c r="M29" i="13"/>
  <c r="M30" i="13"/>
  <c r="M31" i="13"/>
  <c r="M32" i="13"/>
  <c r="M33" i="13"/>
  <c r="M34" i="13"/>
  <c r="M35" i="13"/>
  <c r="M36" i="13"/>
  <c r="M37" i="13"/>
  <c r="M38" i="13"/>
  <c r="M39" i="13"/>
  <c r="M40" i="13"/>
  <c r="M41" i="13"/>
  <c r="M42" i="13"/>
  <c r="M43" i="13"/>
  <c r="M44" i="13"/>
  <c r="M45" i="13"/>
  <c r="M46" i="13"/>
  <c r="M47" i="13"/>
  <c r="M48" i="13"/>
  <c r="L24" i="13"/>
  <c r="L48" i="13"/>
  <c r="L47" i="13"/>
  <c r="L46" i="13"/>
  <c r="L45" i="13"/>
  <c r="O45" i="13" s="1"/>
  <c r="L44" i="13"/>
  <c r="L43" i="13"/>
  <c r="L42" i="13"/>
  <c r="L41" i="13"/>
  <c r="L40" i="13"/>
  <c r="L39" i="13"/>
  <c r="L38" i="13"/>
  <c r="L37" i="13"/>
  <c r="L36" i="13"/>
  <c r="L35" i="13"/>
  <c r="L34" i="13"/>
  <c r="L33" i="13"/>
  <c r="O33" i="13" s="1"/>
  <c r="L32" i="13"/>
  <c r="L31" i="13"/>
  <c r="L30" i="13"/>
  <c r="L29" i="13"/>
  <c r="L27" i="13"/>
  <c r="L26" i="13"/>
  <c r="Q26" i="6"/>
  <c r="Q27" i="6"/>
  <c r="Q28" i="6"/>
  <c r="Q29" i="6"/>
  <c r="Q30" i="6"/>
  <c r="Q31" i="6"/>
  <c r="Q32" i="6"/>
  <c r="Q33" i="6"/>
  <c r="Q34" i="6"/>
  <c r="Q35" i="6"/>
  <c r="Q36" i="6"/>
  <c r="Q37" i="6"/>
  <c r="Q38" i="6"/>
  <c r="Q39" i="6"/>
  <c r="Q40" i="6"/>
  <c r="Q41" i="6"/>
  <c r="Q42" i="6"/>
  <c r="Q43" i="6"/>
  <c r="Q44" i="6"/>
  <c r="Q45" i="6"/>
  <c r="Q46" i="6"/>
  <c r="Q47" i="6"/>
  <c r="Q48" i="6"/>
  <c r="Q49" i="6"/>
  <c r="M49" i="6"/>
  <c r="M48" i="6"/>
  <c r="M47" i="6"/>
  <c r="M46" i="6"/>
  <c r="M45" i="6"/>
  <c r="M44" i="6"/>
  <c r="M43" i="6"/>
  <c r="M42" i="6"/>
  <c r="M41" i="6"/>
  <c r="M40" i="6"/>
  <c r="M39" i="6"/>
  <c r="M38" i="6"/>
  <c r="M37" i="6"/>
  <c r="M36" i="6"/>
  <c r="M35" i="6"/>
  <c r="M34" i="6"/>
  <c r="M33" i="6"/>
  <c r="M32" i="6"/>
  <c r="M30" i="6"/>
  <c r="M28" i="6"/>
  <c r="M27" i="6"/>
  <c r="R24" i="13"/>
  <c r="R25" i="13"/>
  <c r="R26" i="13"/>
  <c r="R27" i="13"/>
  <c r="R28" i="13"/>
  <c r="R29" i="13"/>
  <c r="R30" i="13"/>
  <c r="R31" i="13"/>
  <c r="R32" i="13"/>
  <c r="R33" i="13"/>
  <c r="R34" i="13"/>
  <c r="R35" i="13"/>
  <c r="R36" i="13"/>
  <c r="R37" i="13"/>
  <c r="R38" i="13"/>
  <c r="R39" i="13"/>
  <c r="R40" i="13"/>
  <c r="R41" i="13"/>
  <c r="R42" i="13"/>
  <c r="R43" i="13"/>
  <c r="R44" i="13"/>
  <c r="R45" i="13"/>
  <c r="R46" i="13"/>
  <c r="R47" i="13"/>
  <c r="R48" i="13"/>
  <c r="N28" i="13"/>
  <c r="N26" i="6"/>
  <c r="N27" i="6"/>
  <c r="N28" i="6"/>
  <c r="N29" i="6"/>
  <c r="N30" i="6"/>
  <c r="N31" i="6"/>
  <c r="N32" i="6"/>
  <c r="N33" i="6"/>
  <c r="N34" i="6"/>
  <c r="N35" i="6"/>
  <c r="N36" i="6"/>
  <c r="N37" i="6"/>
  <c r="N38" i="6"/>
  <c r="N39" i="6"/>
  <c r="N40" i="6"/>
  <c r="N41" i="6"/>
  <c r="N42" i="6"/>
  <c r="N43" i="6"/>
  <c r="N44" i="6"/>
  <c r="N45" i="6"/>
  <c r="N46" i="6"/>
  <c r="N47" i="6"/>
  <c r="N48" i="6"/>
  <c r="N49" i="6"/>
  <c r="S26" i="6"/>
  <c r="S27" i="6"/>
  <c r="S28" i="6"/>
  <c r="S29" i="6"/>
  <c r="S30" i="6"/>
  <c r="S31" i="6"/>
  <c r="S32" i="6"/>
  <c r="S33" i="6"/>
  <c r="S34" i="6"/>
  <c r="S35" i="6"/>
  <c r="S36" i="6"/>
  <c r="S37" i="6"/>
  <c r="S38" i="6"/>
  <c r="S39" i="6"/>
  <c r="S40" i="6"/>
  <c r="S41" i="6"/>
  <c r="S42" i="6"/>
  <c r="S43" i="6"/>
  <c r="S44" i="6"/>
  <c r="S45" i="6"/>
  <c r="S46" i="6"/>
  <c r="S47" i="6"/>
  <c r="S48" i="6"/>
  <c r="S49" i="6"/>
  <c r="O29" i="13" l="1"/>
  <c r="O41" i="13"/>
  <c r="V65" i="3" a="1"/>
  <c r="V65" i="3" s="1"/>
  <c r="O30" i="13"/>
  <c r="O38" i="13"/>
  <c r="O47" i="13"/>
  <c r="O31" i="13"/>
  <c r="O39" i="13"/>
  <c r="O46" i="13"/>
  <c r="O25" i="13"/>
  <c r="P31" i="6"/>
  <c r="O37" i="13"/>
  <c r="P38" i="6"/>
  <c r="P53" i="6"/>
  <c r="O24" i="13"/>
  <c r="P46" i="6"/>
  <c r="P33" i="6"/>
  <c r="P41" i="6"/>
  <c r="P49" i="6"/>
  <c r="O34" i="13"/>
  <c r="O42" i="13"/>
  <c r="O27" i="13"/>
  <c r="P30" i="6"/>
  <c r="P39" i="6"/>
  <c r="P47" i="6"/>
  <c r="O32" i="13"/>
  <c r="O40" i="13"/>
  <c r="O48" i="13"/>
  <c r="P29" i="6"/>
  <c r="P32" i="6"/>
  <c r="P40" i="6"/>
  <c r="P48" i="6"/>
  <c r="P34" i="6"/>
  <c r="P42" i="6"/>
  <c r="O26" i="13"/>
  <c r="O35" i="13"/>
  <c r="O43" i="13"/>
  <c r="P35" i="6"/>
  <c r="P43" i="6"/>
  <c r="O36" i="13"/>
  <c r="O44" i="13"/>
  <c r="P26" i="6"/>
  <c r="P27" i="6"/>
  <c r="P36" i="6"/>
  <c r="P44" i="6"/>
  <c r="P28" i="6"/>
  <c r="P37" i="6"/>
  <c r="P45" i="6"/>
  <c r="M28" i="13"/>
  <c r="O28" i="13" s="1"/>
  <c r="P28" i="13"/>
  <c r="P65" i="3" a="1"/>
  <c r="P65" i="3" s="1"/>
  <c r="Q65" i="3" a="1"/>
  <c r="Q65" i="3" s="1"/>
  <c r="R65" i="3" a="1"/>
  <c r="R65" i="3" s="1"/>
  <c r="T65" i="3" a="1"/>
  <c r="T65" i="3" s="1"/>
  <c r="U65" i="3" a="1"/>
  <c r="U65" i="3" s="1"/>
  <c r="V91" i="3" l="1"/>
  <c r="V93" i="3"/>
  <c r="V85" i="3"/>
  <c r="V74" i="3"/>
  <c r="V80" i="3"/>
  <c r="V68" i="3"/>
  <c r="V88" i="3"/>
  <c r="V79" i="3"/>
  <c r="V66" i="3"/>
  <c r="V72" i="3"/>
  <c r="V89" i="3"/>
  <c r="V75" i="3"/>
  <c r="V69" i="3"/>
  <c r="V94" i="3"/>
  <c r="V87" i="3"/>
  <c r="V83" i="3"/>
  <c r="V77" i="3"/>
  <c r="V71" i="3"/>
  <c r="V82" i="3"/>
  <c r="V76" i="3"/>
  <c r="V70" i="3"/>
  <c r="V73" i="3"/>
  <c r="V90" i="3"/>
  <c r="V84" i="3"/>
  <c r="V78" i="3"/>
  <c r="V81" i="3"/>
  <c r="V67" i="3"/>
  <c r="V92" i="3"/>
  <c r="V86" i="3"/>
  <c r="P52" i="6"/>
  <c r="P51" i="6"/>
  <c r="P50" i="6"/>
  <c r="R85" i="3"/>
  <c r="R66" i="3"/>
  <c r="R87" i="3"/>
  <c r="R73" i="3"/>
  <c r="R94" i="3"/>
  <c r="R86" i="3"/>
  <c r="R75" i="3"/>
  <c r="R69" i="3"/>
  <c r="T89" i="3"/>
  <c r="T68" i="3"/>
  <c r="T70" i="3"/>
  <c r="U73" i="3"/>
  <c r="U86" i="3"/>
  <c r="T84" i="3"/>
  <c r="U77" i="3"/>
  <c r="R74" i="3"/>
  <c r="R88" i="3"/>
  <c r="R93" i="3"/>
  <c r="T82" i="3"/>
  <c r="T92" i="3"/>
  <c r="T94" i="3"/>
  <c r="U80" i="3"/>
  <c r="R82" i="3"/>
  <c r="R68" i="3"/>
  <c r="R70" i="3"/>
  <c r="T90" i="3"/>
  <c r="T69" i="3"/>
  <c r="T71" i="3"/>
  <c r="U67" i="3"/>
  <c r="R90" i="3"/>
  <c r="R76" i="3"/>
  <c r="R71" i="3"/>
  <c r="T67" i="3"/>
  <c r="T85" i="3"/>
  <c r="T79" i="3"/>
  <c r="U68" i="3"/>
  <c r="R81" i="3"/>
  <c r="R84" i="3"/>
  <c r="R80" i="3"/>
  <c r="T83" i="3"/>
  <c r="T93" i="3"/>
  <c r="T87" i="3"/>
  <c r="U76" i="3"/>
  <c r="R89" i="3"/>
  <c r="R67" i="3"/>
  <c r="R92" i="3"/>
  <c r="T81" i="3"/>
  <c r="T91" i="3"/>
  <c r="T80" i="3"/>
  <c r="T72" i="3"/>
  <c r="U84" i="3"/>
  <c r="R79" i="3"/>
  <c r="R91" i="3"/>
  <c r="R77" i="3"/>
  <c r="T66" i="3"/>
  <c r="T76" i="3"/>
  <c r="T78" i="3"/>
  <c r="U81" i="3"/>
  <c r="U94" i="3"/>
  <c r="T74" i="3"/>
  <c r="T86" i="3"/>
  <c r="U71" i="3"/>
  <c r="P72" i="3"/>
  <c r="P90" i="3"/>
  <c r="P92" i="3"/>
  <c r="P70" i="3"/>
  <c r="Q89" i="3"/>
  <c r="Q75" i="3"/>
  <c r="Q77" i="3"/>
  <c r="Q94" i="3"/>
  <c r="R72" i="3"/>
  <c r="R83" i="3"/>
  <c r="R78" i="3"/>
  <c r="T73" i="3"/>
  <c r="T75" i="3"/>
  <c r="T77" i="3"/>
  <c r="T88" i="3"/>
  <c r="U66" i="3"/>
  <c r="U83" i="3"/>
  <c r="U69" i="3"/>
  <c r="U87" i="3"/>
  <c r="Q74" i="3"/>
  <c r="P68" i="3"/>
  <c r="Q84" i="3"/>
  <c r="P91" i="3"/>
  <c r="P71" i="3"/>
  <c r="Q80" i="3"/>
  <c r="P66" i="3"/>
  <c r="Q82" i="3"/>
  <c r="P76" i="3"/>
  <c r="Q73" i="3"/>
  <c r="Q92" i="3"/>
  <c r="P82" i="3"/>
  <c r="P84" i="3"/>
  <c r="Q81" i="3"/>
  <c r="Q67" i="3"/>
  <c r="Q69" i="3"/>
  <c r="Q86" i="3"/>
  <c r="U89" i="3"/>
  <c r="U75" i="3"/>
  <c r="U92" i="3"/>
  <c r="U79" i="3"/>
  <c r="P73" i="3"/>
  <c r="P67" i="3"/>
  <c r="P87" i="3"/>
  <c r="P78" i="3"/>
  <c r="Q87" i="3"/>
  <c r="Q83" i="3"/>
  <c r="Q85" i="3"/>
  <c r="Q71" i="3"/>
  <c r="U74" i="3"/>
  <c r="U91" i="3"/>
  <c r="U93" i="3"/>
  <c r="U88" i="3"/>
  <c r="P81" i="3"/>
  <c r="P75" i="3"/>
  <c r="P69" i="3"/>
  <c r="P86" i="3"/>
  <c r="Q88" i="3"/>
  <c r="Q91" i="3"/>
  <c r="Q93" i="3"/>
  <c r="Q72" i="3"/>
  <c r="U82" i="3"/>
  <c r="U85" i="3"/>
  <c r="U70" i="3"/>
  <c r="P88" i="3"/>
  <c r="P85" i="3"/>
  <c r="Q76" i="3"/>
  <c r="P93" i="3"/>
  <c r="P80" i="3"/>
  <c r="Q70" i="3"/>
  <c r="P74" i="3"/>
  <c r="P79" i="3"/>
  <c r="Q90" i="3"/>
  <c r="Q78" i="3"/>
  <c r="P89" i="3"/>
  <c r="P83" i="3"/>
  <c r="P77" i="3"/>
  <c r="P94" i="3"/>
  <c r="Q66" i="3"/>
  <c r="Q68" i="3"/>
  <c r="Q79" i="3"/>
  <c r="U90" i="3"/>
  <c r="U72" i="3"/>
  <c r="U78" i="3"/>
  <c r="I73" i="5" l="1"/>
  <c r="J73" i="5"/>
  <c r="K73" i="5"/>
  <c r="O73" i="5"/>
  <c r="L73" i="5" l="1"/>
  <c r="K22" i="5"/>
  <c r="L22" i="5" s="1"/>
  <c r="K23" i="5"/>
  <c r="K24" i="5"/>
  <c r="K25" i="5"/>
  <c r="K26" i="5"/>
  <c r="K27" i="5"/>
  <c r="K28" i="5"/>
  <c r="K29" i="5"/>
  <c r="K30" i="5"/>
  <c r="K31" i="5"/>
  <c r="K32" i="5"/>
  <c r="K33" i="5"/>
  <c r="K34" i="5"/>
  <c r="K35" i="5"/>
  <c r="K36" i="5"/>
  <c r="K37" i="5"/>
  <c r="K38" i="5"/>
  <c r="K39" i="5"/>
  <c r="K40" i="5"/>
  <c r="K41" i="5"/>
  <c r="K42" i="5"/>
  <c r="K43" i="5"/>
  <c r="K44" i="5"/>
  <c r="K45" i="5"/>
  <c r="K46" i="5"/>
  <c r="K47" i="5"/>
  <c r="K48" i="5"/>
  <c r="K49" i="5"/>
  <c r="K50" i="5"/>
  <c r="K51" i="5"/>
  <c r="K52" i="5"/>
  <c r="K53" i="5"/>
  <c r="K54" i="5"/>
  <c r="K55" i="5"/>
  <c r="K56" i="5"/>
  <c r="K57" i="5"/>
  <c r="K58" i="5"/>
  <c r="K59" i="5"/>
  <c r="K60" i="5"/>
  <c r="K61" i="5"/>
  <c r="K62" i="5"/>
  <c r="K63" i="5"/>
  <c r="K64" i="5"/>
  <c r="K65" i="5"/>
  <c r="K66" i="5"/>
  <c r="K67" i="5"/>
  <c r="K68" i="5"/>
  <c r="K69" i="5"/>
  <c r="K70" i="5"/>
  <c r="K71" i="5"/>
  <c r="K72" i="5"/>
  <c r="K74" i="5"/>
  <c r="J23" i="5"/>
  <c r="J24" i="5"/>
  <c r="J25" i="5"/>
  <c r="J26" i="5"/>
  <c r="J27" i="5"/>
  <c r="J28" i="5"/>
  <c r="J29" i="5"/>
  <c r="J30" i="5"/>
  <c r="J31" i="5"/>
  <c r="J32" i="5"/>
  <c r="J33" i="5"/>
  <c r="J34" i="5"/>
  <c r="J35" i="5"/>
  <c r="J36" i="5"/>
  <c r="J37" i="5"/>
  <c r="J38" i="5"/>
  <c r="J39" i="5"/>
  <c r="J40" i="5"/>
  <c r="J41" i="5"/>
  <c r="J42" i="5"/>
  <c r="J43" i="5"/>
  <c r="J44" i="5"/>
  <c r="J45" i="5"/>
  <c r="J46" i="5"/>
  <c r="J47" i="5"/>
  <c r="J48" i="5"/>
  <c r="J49" i="5"/>
  <c r="J50" i="5"/>
  <c r="J51" i="5"/>
  <c r="J52" i="5"/>
  <c r="J53" i="5"/>
  <c r="J54" i="5"/>
  <c r="J55" i="5"/>
  <c r="J56" i="5"/>
  <c r="J57" i="5"/>
  <c r="J58" i="5"/>
  <c r="J59" i="5"/>
  <c r="J60" i="5"/>
  <c r="J61" i="5"/>
  <c r="J62" i="5"/>
  <c r="J63" i="5"/>
  <c r="J64" i="5"/>
  <c r="J65" i="5"/>
  <c r="J66" i="5"/>
  <c r="J67" i="5"/>
  <c r="J68" i="5"/>
  <c r="J69" i="5"/>
  <c r="J70" i="5"/>
  <c r="J71" i="5"/>
  <c r="J72" i="5"/>
  <c r="J74" i="5"/>
  <c r="I23" i="5"/>
  <c r="I24" i="5"/>
  <c r="I25" i="5"/>
  <c r="I26" i="5"/>
  <c r="I27" i="5"/>
  <c r="I28" i="5"/>
  <c r="I29" i="5"/>
  <c r="I30" i="5"/>
  <c r="I31" i="5"/>
  <c r="I32" i="5"/>
  <c r="I33" i="5"/>
  <c r="I34" i="5"/>
  <c r="I35" i="5"/>
  <c r="I36" i="5"/>
  <c r="I37" i="5"/>
  <c r="I38" i="5"/>
  <c r="I39" i="5"/>
  <c r="I40" i="5"/>
  <c r="I41" i="5"/>
  <c r="I42" i="5"/>
  <c r="I43" i="5"/>
  <c r="I44" i="5"/>
  <c r="I45" i="5"/>
  <c r="I46" i="5"/>
  <c r="I47" i="5"/>
  <c r="I48" i="5"/>
  <c r="I49" i="5"/>
  <c r="I50" i="5"/>
  <c r="I51" i="5"/>
  <c r="I52" i="5"/>
  <c r="I53" i="5"/>
  <c r="I54" i="5"/>
  <c r="I55" i="5"/>
  <c r="I56" i="5"/>
  <c r="I57" i="5"/>
  <c r="I58" i="5"/>
  <c r="I59" i="5"/>
  <c r="I60" i="5"/>
  <c r="I61" i="5"/>
  <c r="I62" i="5"/>
  <c r="I63" i="5"/>
  <c r="I64" i="5"/>
  <c r="I65" i="5"/>
  <c r="I66" i="5"/>
  <c r="I67" i="5"/>
  <c r="I68" i="5"/>
  <c r="I69" i="5"/>
  <c r="I70" i="5"/>
  <c r="I71" i="5"/>
  <c r="I72" i="5"/>
  <c r="I74" i="5"/>
  <c r="L51" i="5" l="1"/>
  <c r="L59" i="5"/>
  <c r="L67" i="5"/>
  <c r="L43" i="5"/>
  <c r="L35" i="5"/>
  <c r="L27" i="5"/>
  <c r="L68" i="5"/>
  <c r="L60" i="5"/>
  <c r="L52" i="5"/>
  <c r="L44" i="5"/>
  <c r="L36" i="5"/>
  <c r="L28" i="5"/>
  <c r="L69" i="5"/>
  <c r="L53" i="5"/>
  <c r="L37" i="5"/>
  <c r="L72" i="5"/>
  <c r="L64" i="5"/>
  <c r="L56" i="5"/>
  <c r="L48" i="5"/>
  <c r="L40" i="5"/>
  <c r="L32" i="5"/>
  <c r="L24" i="5"/>
  <c r="L61" i="5"/>
  <c r="L45" i="5"/>
  <c r="L29" i="5"/>
  <c r="L74" i="5"/>
  <c r="L49" i="5"/>
  <c r="L41" i="5"/>
  <c r="L33" i="5"/>
  <c r="L25" i="5"/>
  <c r="L65" i="5"/>
  <c r="L57" i="5"/>
  <c r="L70" i="5"/>
  <c r="L62" i="5"/>
  <c r="L54" i="5"/>
  <c r="L46" i="5"/>
  <c r="L38" i="5"/>
  <c r="L30" i="5"/>
  <c r="L66" i="5"/>
  <c r="L58" i="5"/>
  <c r="L50" i="5"/>
  <c r="L42" i="5"/>
  <c r="L34" i="5"/>
  <c r="L26" i="5"/>
  <c r="L71" i="5"/>
  <c r="L63" i="5"/>
  <c r="L55" i="5"/>
  <c r="L47" i="5"/>
  <c r="L39" i="5"/>
  <c r="L31" i="5"/>
  <c r="L23" i="5"/>
  <c r="H37" i="6"/>
  <c r="H38" i="6"/>
  <c r="H39" i="6"/>
  <c r="H40" i="6"/>
  <c r="H41" i="6"/>
  <c r="H42" i="6"/>
  <c r="H43" i="6"/>
  <c r="H44" i="6"/>
  <c r="H45" i="6"/>
  <c r="H36" i="6"/>
  <c r="H46" i="6"/>
  <c r="H47" i="6"/>
  <c r="K93" i="3" l="1"/>
  <c r="K83" i="3"/>
  <c r="K84" i="3"/>
  <c r="K85" i="3"/>
  <c r="K86" i="3"/>
  <c r="K87" i="3"/>
  <c r="K76" i="3"/>
  <c r="K77" i="3"/>
  <c r="K78" i="3"/>
  <c r="K79" i="3"/>
  <c r="K80" i="3"/>
  <c r="K81" i="3"/>
  <c r="K82" i="3"/>
  <c r="K88" i="3"/>
  <c r="K89" i="3"/>
  <c r="K90" i="3"/>
  <c r="K91" i="3"/>
  <c r="K92" i="3"/>
  <c r="K73" i="3"/>
  <c r="O28" i="5"/>
  <c r="O29" i="5"/>
  <c r="O30" i="5"/>
  <c r="O31" i="5"/>
  <c r="O32" i="5"/>
  <c r="O33" i="5"/>
  <c r="O34" i="5"/>
  <c r="O35" i="5"/>
  <c r="O36" i="5"/>
  <c r="O37" i="5"/>
  <c r="O38" i="5"/>
  <c r="O39" i="5"/>
  <c r="O40" i="5"/>
  <c r="O41" i="5"/>
  <c r="O42" i="5"/>
  <c r="O43" i="5"/>
  <c r="O44" i="5"/>
  <c r="O45" i="5"/>
  <c r="O46" i="5"/>
  <c r="O47" i="5"/>
  <c r="O48" i="5"/>
  <c r="O49" i="5"/>
  <c r="O50" i="5"/>
  <c r="O51" i="5"/>
  <c r="O52" i="5"/>
  <c r="O53" i="5"/>
  <c r="O54" i="5"/>
  <c r="O55" i="5"/>
  <c r="O56" i="5"/>
  <c r="O57" i="5"/>
  <c r="O58" i="5"/>
  <c r="O59" i="5"/>
  <c r="O60" i="5"/>
  <c r="O61" i="5"/>
  <c r="O62" i="5"/>
  <c r="O63" i="5"/>
  <c r="O64" i="5"/>
  <c r="O65" i="5"/>
  <c r="O66" i="5"/>
  <c r="O67" i="5"/>
  <c r="O27" i="5"/>
  <c r="O68" i="5"/>
  <c r="O69" i="5"/>
  <c r="O71" i="5"/>
  <c r="W36" i="7"/>
  <c r="W37" i="7"/>
  <c r="W38" i="7"/>
  <c r="W39" i="7"/>
  <c r="W40" i="7"/>
  <c r="W41" i="7"/>
  <c r="W42" i="7"/>
  <c r="W43" i="7"/>
  <c r="W44" i="7"/>
  <c r="W45" i="7"/>
  <c r="W46" i="7"/>
  <c r="W47" i="7"/>
  <c r="W48" i="7"/>
  <c r="W49" i="7"/>
  <c r="W50" i="7"/>
  <c r="W51" i="7"/>
  <c r="W52" i="7"/>
  <c r="H30" i="6" l="1"/>
  <c r="H31" i="6"/>
  <c r="H32" i="6"/>
  <c r="H33" i="6"/>
  <c r="H34" i="6"/>
  <c r="H35" i="6"/>
  <c r="H48" i="6"/>
  <c r="H49" i="6"/>
  <c r="O50" i="13" l="1"/>
  <c r="O49" i="13" l="1"/>
  <c r="M66" i="8" l="1"/>
  <c r="K66" i="3"/>
  <c r="K67" i="3"/>
  <c r="K68" i="3"/>
  <c r="Q25" i="13" s="1"/>
  <c r="K69" i="3"/>
  <c r="N27" i="8" s="1"/>
  <c r="K70" i="3"/>
  <c r="K71" i="3"/>
  <c r="K72" i="3"/>
  <c r="K74" i="3"/>
  <c r="K75" i="3"/>
  <c r="K94" i="3"/>
  <c r="N29" i="8" l="1"/>
  <c r="N23" i="5"/>
  <c r="N22" i="5"/>
  <c r="O22" i="5" s="1"/>
  <c r="Q26" i="13"/>
  <c r="R26" i="6"/>
  <c r="R36" i="6"/>
  <c r="R48" i="6"/>
  <c r="N74" i="5"/>
  <c r="O74" i="5" s="1"/>
  <c r="O23" i="5"/>
  <c r="O24" i="5"/>
  <c r="O25" i="5"/>
  <c r="O26" i="5"/>
  <c r="O70" i="5"/>
  <c r="O72" i="5"/>
  <c r="C12" i="4"/>
  <c r="C11" i="4"/>
  <c r="H511" i="15" l="1"/>
  <c r="H512" i="15"/>
  <c r="H513" i="15"/>
  <c r="H514" i="15"/>
  <c r="I511" i="15"/>
  <c r="I512" i="15"/>
  <c r="I513" i="15"/>
  <c r="I514" i="15"/>
  <c r="H497" i="15"/>
  <c r="H498" i="15"/>
  <c r="H499" i="15"/>
  <c r="H500" i="15"/>
  <c r="H501" i="15"/>
  <c r="H502" i="15"/>
  <c r="H503" i="15"/>
  <c r="H504" i="15"/>
  <c r="H505" i="15"/>
  <c r="H506" i="15"/>
  <c r="H507" i="15"/>
  <c r="H508" i="15"/>
  <c r="H509" i="15"/>
  <c r="H510" i="15"/>
  <c r="I497" i="15"/>
  <c r="I498" i="15"/>
  <c r="I499" i="15"/>
  <c r="I500" i="15"/>
  <c r="I501" i="15"/>
  <c r="I502" i="15"/>
  <c r="I503" i="15"/>
  <c r="I504" i="15"/>
  <c r="I505" i="15"/>
  <c r="I506" i="15"/>
  <c r="I507" i="15"/>
  <c r="I508" i="15"/>
  <c r="I509" i="15"/>
  <c r="I510" i="15"/>
  <c r="M76" i="5" l="1"/>
  <c r="I468" i="15" l="1"/>
  <c r="I469" i="15"/>
  <c r="I470" i="15"/>
  <c r="I471" i="15"/>
  <c r="I472" i="15"/>
  <c r="I473" i="15"/>
  <c r="I474" i="15"/>
  <c r="I475" i="15"/>
  <c r="I476" i="15"/>
  <c r="I477" i="15"/>
  <c r="I478" i="15"/>
  <c r="I479" i="15"/>
  <c r="I480" i="15"/>
  <c r="I481" i="15"/>
  <c r="I482" i="15"/>
  <c r="I483" i="15"/>
  <c r="I484" i="15"/>
  <c r="I485" i="15"/>
  <c r="I486" i="15"/>
  <c r="I487" i="15"/>
  <c r="I488" i="15"/>
  <c r="I489" i="15"/>
  <c r="I490" i="15"/>
  <c r="I491" i="15"/>
  <c r="I492" i="15"/>
  <c r="I493" i="15"/>
  <c r="I494" i="15"/>
  <c r="I495" i="15"/>
  <c r="I496" i="15"/>
  <c r="H468" i="15"/>
  <c r="H469" i="15"/>
  <c r="H470" i="15"/>
  <c r="H471" i="15"/>
  <c r="H472" i="15"/>
  <c r="H473" i="15"/>
  <c r="H474" i="15"/>
  <c r="H475" i="15"/>
  <c r="H476" i="15"/>
  <c r="H477" i="15"/>
  <c r="H478" i="15"/>
  <c r="H479" i="15"/>
  <c r="H480" i="15"/>
  <c r="H481" i="15"/>
  <c r="H482" i="15"/>
  <c r="H483" i="15"/>
  <c r="H484" i="15"/>
  <c r="H485" i="15"/>
  <c r="H486" i="15"/>
  <c r="H487" i="15"/>
  <c r="H488" i="15"/>
  <c r="H489" i="15"/>
  <c r="H490" i="15"/>
  <c r="H491" i="15"/>
  <c r="H492" i="15"/>
  <c r="H493" i="15"/>
  <c r="H494" i="15"/>
  <c r="H495" i="15"/>
  <c r="H496" i="15"/>
  <c r="K379" i="15"/>
  <c r="K380" i="15"/>
  <c r="K381" i="15"/>
  <c r="K382" i="15"/>
  <c r="K383" i="15"/>
  <c r="K384" i="15"/>
  <c r="K385" i="15"/>
  <c r="K372" i="15"/>
  <c r="K373" i="15"/>
  <c r="K374" i="15"/>
  <c r="K375" i="15"/>
  <c r="K371" i="15"/>
  <c r="K367" i="15"/>
  <c r="K361" i="15"/>
  <c r="K362" i="15"/>
  <c r="K363" i="15"/>
  <c r="K360" i="15"/>
  <c r="K352" i="15"/>
  <c r="K353" i="15"/>
  <c r="K354" i="15"/>
  <c r="K355" i="15"/>
  <c r="K356" i="15"/>
  <c r="K351" i="15"/>
  <c r="I461" i="15"/>
  <c r="I462" i="15"/>
  <c r="I463" i="15"/>
  <c r="I464" i="15"/>
  <c r="I465" i="15"/>
  <c r="I466" i="15"/>
  <c r="I467" i="15"/>
  <c r="H461" i="15"/>
  <c r="H462" i="15"/>
  <c r="H463" i="15"/>
  <c r="H464" i="15"/>
  <c r="H465" i="15"/>
  <c r="H466" i="15"/>
  <c r="H467" i="15"/>
  <c r="K289" i="15" l="1"/>
  <c r="K271" i="15"/>
  <c r="K272" i="15"/>
  <c r="K273" i="15"/>
  <c r="K274" i="15"/>
  <c r="K275" i="15"/>
  <c r="K276" i="15"/>
  <c r="K277" i="15"/>
  <c r="K278" i="15"/>
  <c r="K279" i="15"/>
  <c r="K280" i="15"/>
  <c r="K281" i="15"/>
  <c r="K282" i="15"/>
  <c r="K283" i="15"/>
  <c r="K270" i="15"/>
  <c r="M75" i="5" l="1"/>
  <c r="I423" i="15"/>
  <c r="I424" i="15"/>
  <c r="I425" i="15"/>
  <c r="I426" i="15"/>
  <c r="I427" i="15"/>
  <c r="I428" i="15"/>
  <c r="I429" i="15"/>
  <c r="I430" i="15"/>
  <c r="I431" i="15"/>
  <c r="H423" i="15"/>
  <c r="H424" i="15"/>
  <c r="H425" i="15"/>
  <c r="H426" i="15"/>
  <c r="H427" i="15"/>
  <c r="H428" i="15"/>
  <c r="H429" i="15"/>
  <c r="H430" i="15"/>
  <c r="H431" i="15"/>
  <c r="I422" i="15"/>
  <c r="H422" i="15"/>
  <c r="I237" i="15" l="1"/>
  <c r="I238" i="15"/>
  <c r="I239" i="15"/>
  <c r="I240" i="15"/>
  <c r="I241" i="15"/>
  <c r="I242" i="15"/>
  <c r="I243" i="15"/>
  <c r="I244" i="15"/>
  <c r="I245" i="15"/>
  <c r="I246" i="15"/>
  <c r="I247" i="15"/>
  <c r="I248" i="15"/>
  <c r="I249" i="15"/>
  <c r="I250" i="15"/>
  <c r="I251" i="15"/>
  <c r="I252" i="15"/>
  <c r="I253" i="15"/>
  <c r="I254" i="15"/>
  <c r="I255" i="15"/>
  <c r="I256" i="15"/>
  <c r="I257" i="15"/>
  <c r="I258" i="15"/>
  <c r="I259" i="15"/>
  <c r="I260" i="15"/>
  <c r="I261" i="15"/>
  <c r="H237" i="15"/>
  <c r="H238" i="15"/>
  <c r="H239" i="15"/>
  <c r="H240" i="15"/>
  <c r="H241" i="15"/>
  <c r="H242" i="15"/>
  <c r="H243" i="15"/>
  <c r="H244" i="15"/>
  <c r="H245" i="15"/>
  <c r="H246" i="15"/>
  <c r="H247" i="15"/>
  <c r="H248" i="15"/>
  <c r="H249" i="15"/>
  <c r="H250" i="15"/>
  <c r="H251" i="15"/>
  <c r="H252" i="15"/>
  <c r="H253" i="15"/>
  <c r="H254" i="15"/>
  <c r="H255" i="15"/>
  <c r="H256" i="15"/>
  <c r="H257" i="15"/>
  <c r="H258" i="15"/>
  <c r="H259" i="15"/>
  <c r="H260" i="15"/>
  <c r="H261" i="15"/>
  <c r="G5" i="2" l="1"/>
  <c r="G4" i="2"/>
  <c r="G6" i="2"/>
  <c r="G3" i="2"/>
  <c r="AD112" i="7" l="1"/>
  <c r="AC112" i="7"/>
  <c r="AD111" i="7"/>
  <c r="AC111" i="7"/>
  <c r="AD110" i="7"/>
  <c r="AC110" i="7"/>
  <c r="AD109" i="7"/>
  <c r="AC109" i="7"/>
  <c r="AD108" i="7"/>
  <c r="AC108" i="7"/>
  <c r="AD107" i="7"/>
  <c r="AC107" i="7"/>
  <c r="AD106" i="7"/>
  <c r="AC106" i="7"/>
  <c r="AD105" i="7"/>
  <c r="AC105" i="7"/>
  <c r="AD104" i="7"/>
  <c r="AC104" i="7"/>
  <c r="AD103" i="7"/>
  <c r="AC103" i="7"/>
  <c r="AD102" i="7"/>
  <c r="AC102" i="7"/>
  <c r="AD101" i="7"/>
  <c r="AC101" i="7"/>
  <c r="AD100" i="7"/>
  <c r="AC100" i="7"/>
  <c r="AD99" i="7"/>
  <c r="AC99" i="7"/>
  <c r="AD98" i="7"/>
  <c r="AC98" i="7"/>
  <c r="AD97" i="7"/>
  <c r="AC97" i="7"/>
  <c r="AD96" i="7"/>
  <c r="AC96" i="7"/>
  <c r="AD95" i="7"/>
  <c r="AC95" i="7"/>
  <c r="AC82" i="7"/>
  <c r="AB82" i="7"/>
  <c r="AA82" i="7"/>
  <c r="Z82" i="7"/>
  <c r="AC81" i="7"/>
  <c r="AB81" i="7"/>
  <c r="AA81" i="7"/>
  <c r="Z81" i="7"/>
  <c r="AC80" i="7"/>
  <c r="AB80" i="7"/>
  <c r="AA80" i="7"/>
  <c r="Z80" i="7"/>
  <c r="AC79" i="7"/>
  <c r="AB79" i="7"/>
  <c r="AA79" i="7"/>
  <c r="Z79" i="7"/>
  <c r="AC78" i="7"/>
  <c r="AB78" i="7"/>
  <c r="AA78" i="7"/>
  <c r="Z78" i="7"/>
  <c r="AC77" i="7"/>
  <c r="AB77" i="7"/>
  <c r="AA77" i="7"/>
  <c r="Z77" i="7"/>
  <c r="AC76" i="7"/>
  <c r="AB76" i="7"/>
  <c r="AA76" i="7"/>
  <c r="Z76" i="7"/>
  <c r="AC75" i="7"/>
  <c r="AB75" i="7"/>
  <c r="AA75" i="7"/>
  <c r="Z75" i="7"/>
  <c r="AC74" i="7"/>
  <c r="AB74" i="7"/>
  <c r="AA74" i="7"/>
  <c r="Z74" i="7"/>
  <c r="AC73" i="7"/>
  <c r="AB73" i="7"/>
  <c r="AA73" i="7"/>
  <c r="Z73" i="7"/>
  <c r="AC72" i="7"/>
  <c r="AB72" i="7"/>
  <c r="AA72" i="7"/>
  <c r="Z72" i="7"/>
  <c r="AC71" i="7"/>
  <c r="AB71" i="7"/>
  <c r="AA71" i="7"/>
  <c r="Z71" i="7"/>
  <c r="AC70" i="7"/>
  <c r="AB70" i="7"/>
  <c r="AA70" i="7"/>
  <c r="Z70" i="7"/>
  <c r="AC69" i="7"/>
  <c r="AB69" i="7"/>
  <c r="AA69" i="7"/>
  <c r="Z69" i="7"/>
  <c r="AC68" i="7"/>
  <c r="AB68" i="7"/>
  <c r="AA68" i="7"/>
  <c r="Z68" i="7"/>
  <c r="AC67" i="7"/>
  <c r="AB67" i="7"/>
  <c r="AA67" i="7"/>
  <c r="Z67" i="7"/>
  <c r="AC66" i="7"/>
  <c r="AB66" i="7"/>
  <c r="AA66" i="7"/>
  <c r="Z66" i="7"/>
  <c r="AC65" i="7"/>
  <c r="AB65" i="7"/>
  <c r="AA65" i="7"/>
  <c r="Z65" i="7"/>
  <c r="AD36" i="7"/>
  <c r="AD37" i="7"/>
  <c r="AD38" i="7"/>
  <c r="AD39" i="7"/>
  <c r="AD40" i="7"/>
  <c r="AD41" i="7"/>
  <c r="AD42" i="7"/>
  <c r="AD43" i="7"/>
  <c r="AD44" i="7"/>
  <c r="AD45" i="7"/>
  <c r="AD46" i="7"/>
  <c r="AD47" i="7"/>
  <c r="AD48" i="7"/>
  <c r="AD49" i="7"/>
  <c r="AD50" i="7"/>
  <c r="AD51" i="7"/>
  <c r="AD52" i="7"/>
  <c r="AC36" i="7"/>
  <c r="AC37" i="7"/>
  <c r="AC38" i="7"/>
  <c r="AC39" i="7"/>
  <c r="AC40" i="7"/>
  <c r="AC41" i="7"/>
  <c r="AC42" i="7"/>
  <c r="AC43" i="7"/>
  <c r="AC44" i="7"/>
  <c r="AC45" i="7"/>
  <c r="AC46" i="7"/>
  <c r="AC47" i="7"/>
  <c r="AC48" i="7"/>
  <c r="AC49" i="7"/>
  <c r="AC50" i="7"/>
  <c r="AC51" i="7"/>
  <c r="AC52" i="7"/>
  <c r="AC35" i="7"/>
  <c r="AB36" i="7"/>
  <c r="AB37" i="7"/>
  <c r="AB38" i="7"/>
  <c r="AB39" i="7"/>
  <c r="AB40" i="7"/>
  <c r="AB41" i="7"/>
  <c r="AB42" i="7"/>
  <c r="AB43" i="7"/>
  <c r="AB44" i="7"/>
  <c r="AB45" i="7"/>
  <c r="AB46" i="7"/>
  <c r="AB47" i="7"/>
  <c r="AB48" i="7"/>
  <c r="AB49" i="7"/>
  <c r="AB50" i="7"/>
  <c r="AB51" i="7"/>
  <c r="AB52" i="7"/>
  <c r="AB35" i="7"/>
  <c r="S36" i="7"/>
  <c r="S37" i="7"/>
  <c r="S38" i="7"/>
  <c r="S39" i="7"/>
  <c r="S40" i="7"/>
  <c r="S41" i="7"/>
  <c r="S42" i="7"/>
  <c r="S43" i="7"/>
  <c r="S44" i="7"/>
  <c r="S45" i="7"/>
  <c r="S46" i="7"/>
  <c r="S47" i="7"/>
  <c r="S48" i="7"/>
  <c r="S49" i="7"/>
  <c r="S50" i="7"/>
  <c r="S51" i="7"/>
  <c r="S52" i="7"/>
  <c r="S35" i="7"/>
  <c r="AE35" i="7" l="1"/>
  <c r="P35" i="7" s="1"/>
  <c r="AE107" i="7"/>
  <c r="O107" i="7" s="1"/>
  <c r="AE104" i="7"/>
  <c r="O104" i="7" s="1"/>
  <c r="AE108" i="7"/>
  <c r="O108" i="7" s="1"/>
  <c r="AE101" i="7"/>
  <c r="O101" i="7" s="1"/>
  <c r="AE105" i="7"/>
  <c r="O105" i="7" s="1"/>
  <c r="AE109" i="7"/>
  <c r="O109" i="7" s="1"/>
  <c r="AE98" i="7"/>
  <c r="O98" i="7" s="1"/>
  <c r="AE102" i="7"/>
  <c r="O102" i="7" s="1"/>
  <c r="AE106" i="7"/>
  <c r="O106" i="7" s="1"/>
  <c r="AE110" i="7"/>
  <c r="O110" i="7" s="1"/>
  <c r="AE112" i="7"/>
  <c r="O112" i="7" s="1"/>
  <c r="AE96" i="7"/>
  <c r="O96" i="7" s="1"/>
  <c r="AE97" i="7"/>
  <c r="O97" i="7" s="1"/>
  <c r="AE100" i="7"/>
  <c r="O100" i="7" s="1"/>
  <c r="AE95" i="7"/>
  <c r="O95" i="7" s="1"/>
  <c r="AE111" i="7"/>
  <c r="O111" i="7" s="1"/>
  <c r="AE99" i="7"/>
  <c r="O99" i="7" s="1"/>
  <c r="AE103" i="7"/>
  <c r="O103" i="7" s="1"/>
  <c r="AE51" i="7"/>
  <c r="AE43" i="7"/>
  <c r="AD74" i="7"/>
  <c r="U74" i="7" s="1"/>
  <c r="AD67" i="7"/>
  <c r="U67" i="7" s="1"/>
  <c r="AD71" i="7"/>
  <c r="U71" i="7" s="1"/>
  <c r="AD75" i="7"/>
  <c r="U75" i="7" s="1"/>
  <c r="AD77" i="7"/>
  <c r="U77" i="7" s="1"/>
  <c r="AD79" i="7"/>
  <c r="U79" i="7" s="1"/>
  <c r="AD81" i="7"/>
  <c r="U81" i="7" s="1"/>
  <c r="AD68" i="7"/>
  <c r="U68" i="7" s="1"/>
  <c r="AD66" i="7"/>
  <c r="U66" i="7" s="1"/>
  <c r="AD72" i="7"/>
  <c r="U72" i="7" s="1"/>
  <c r="AD70" i="7"/>
  <c r="U70" i="7" s="1"/>
  <c r="AD76" i="7"/>
  <c r="U76" i="7" s="1"/>
  <c r="AD65" i="7"/>
  <c r="U65" i="7" s="1"/>
  <c r="AD80" i="7"/>
  <c r="U80" i="7" s="1"/>
  <c r="AD69" i="7"/>
  <c r="U69" i="7" s="1"/>
  <c r="AD78" i="7"/>
  <c r="U78" i="7" s="1"/>
  <c r="AD73" i="7"/>
  <c r="U73" i="7" s="1"/>
  <c r="AD82" i="7"/>
  <c r="U82" i="7" s="1"/>
  <c r="AE52" i="7"/>
  <c r="AE44" i="7"/>
  <c r="AE36" i="7"/>
  <c r="AE42" i="7"/>
  <c r="AE46" i="7"/>
  <c r="AE38" i="7"/>
  <c r="AE50" i="7"/>
  <c r="AE40" i="7"/>
  <c r="AE47" i="7"/>
  <c r="AE39" i="7"/>
  <c r="AE48" i="7"/>
  <c r="AE45" i="7"/>
  <c r="AE37" i="7"/>
  <c r="AE49" i="7"/>
  <c r="AE41" i="7"/>
  <c r="K57" i="4"/>
  <c r="J57" i="4"/>
  <c r="K18" i="4"/>
  <c r="J18" i="4"/>
  <c r="K35" i="3"/>
  <c r="K36" i="3"/>
  <c r="J21" i="4" l="1"/>
  <c r="J26" i="4"/>
  <c r="J24" i="4"/>
  <c r="J25" i="4"/>
  <c r="K21" i="4"/>
  <c r="K24" i="4"/>
  <c r="K26" i="4"/>
  <c r="K25" i="4"/>
  <c r="J32" i="4"/>
  <c r="K32" i="4"/>
  <c r="M64" i="8"/>
  <c r="M65" i="8"/>
  <c r="J44" i="4"/>
  <c r="J20" i="4"/>
  <c r="J34" i="4"/>
  <c r="J19" i="4"/>
  <c r="J35" i="4"/>
  <c r="J46" i="4"/>
  <c r="K44" i="4"/>
  <c r="K34" i="4"/>
  <c r="K19" i="4"/>
  <c r="K35" i="4"/>
  <c r="K46" i="4"/>
  <c r="K20" i="4"/>
  <c r="O113" i="7"/>
  <c r="U83" i="7"/>
  <c r="P44" i="7"/>
  <c r="AH44" i="7"/>
  <c r="AH41" i="7"/>
  <c r="P41" i="7"/>
  <c r="AH40" i="7"/>
  <c r="P40" i="7"/>
  <c r="AH49" i="7"/>
  <c r="P49" i="7"/>
  <c r="AH50" i="7"/>
  <c r="P50" i="7"/>
  <c r="P52" i="7"/>
  <c r="AH52" i="7"/>
  <c r="P38" i="7"/>
  <c r="AH38" i="7"/>
  <c r="P43" i="7"/>
  <c r="AH43" i="7"/>
  <c r="AH47" i="7"/>
  <c r="P47" i="7"/>
  <c r="P45" i="7"/>
  <c r="AH45" i="7"/>
  <c r="P51" i="7"/>
  <c r="AH51" i="7"/>
  <c r="P39" i="7"/>
  <c r="AH39" i="7"/>
  <c r="P37" i="7"/>
  <c r="AH37" i="7"/>
  <c r="P46" i="7"/>
  <c r="AH46" i="7"/>
  <c r="AH35" i="7"/>
  <c r="AH42" i="7"/>
  <c r="P42" i="7"/>
  <c r="AH48" i="7"/>
  <c r="P48" i="7"/>
  <c r="P36" i="7"/>
  <c r="AH36" i="7"/>
  <c r="K32" i="3"/>
  <c r="K33" i="3"/>
  <c r="K34" i="3"/>
  <c r="K31" i="3"/>
  <c r="K23" i="4" l="1"/>
  <c r="J23" i="4"/>
  <c r="K28" i="4"/>
  <c r="J28" i="4"/>
  <c r="J27" i="4"/>
  <c r="K27" i="4"/>
  <c r="X58" i="4" a="1"/>
  <c r="X58" i="4" s="1"/>
  <c r="C58" i="4" s="1"/>
  <c r="P53" i="7"/>
  <c r="I57" i="4"/>
  <c r="H57" i="4"/>
  <c r="G57" i="4"/>
  <c r="F57" i="4"/>
  <c r="I18" i="4"/>
  <c r="H18" i="4"/>
  <c r="G18" i="4"/>
  <c r="G34" i="4" s="1"/>
  <c r="F18" i="4"/>
  <c r="F24" i="4" s="1"/>
  <c r="F26" i="4" l="1"/>
  <c r="F27" i="4" s="1"/>
  <c r="F25" i="4"/>
  <c r="G21" i="4"/>
  <c r="G24" i="4"/>
  <c r="G25" i="4"/>
  <c r="G26" i="4"/>
  <c r="H21" i="4"/>
  <c r="H26" i="4"/>
  <c r="H24" i="4"/>
  <c r="H25" i="4"/>
  <c r="I21" i="4"/>
  <c r="I26" i="4"/>
  <c r="I24" i="4"/>
  <c r="I25" i="4"/>
  <c r="F46" i="4"/>
  <c r="F21" i="4"/>
  <c r="G32" i="4"/>
  <c r="H32" i="4"/>
  <c r="I32" i="4"/>
  <c r="F20" i="4"/>
  <c r="F32" i="4"/>
  <c r="F44" i="4"/>
  <c r="F35" i="4"/>
  <c r="F34" i="4"/>
  <c r="F19" i="4"/>
  <c r="G44" i="4"/>
  <c r="G35" i="4"/>
  <c r="G20" i="4"/>
  <c r="G46" i="4"/>
  <c r="G19" i="4"/>
  <c r="I44" i="4"/>
  <c r="I46" i="4"/>
  <c r="I34" i="4"/>
  <c r="I19" i="4"/>
  <c r="I20" i="4"/>
  <c r="I35" i="4"/>
  <c r="H44" i="4"/>
  <c r="H20" i="4"/>
  <c r="H46" i="4"/>
  <c r="H35" i="4"/>
  <c r="H34" i="4"/>
  <c r="H19" i="4"/>
  <c r="Y57" i="4"/>
  <c r="AM45" i="2"/>
  <c r="AL45" i="2"/>
  <c r="AA37" i="2"/>
  <c r="AA36" i="2"/>
  <c r="AC35" i="2"/>
  <c r="AB35" i="2"/>
  <c r="AA35" i="2"/>
  <c r="Z35" i="2"/>
  <c r="Y35" i="2"/>
  <c r="X35" i="2"/>
  <c r="W35" i="2"/>
  <c r="V35" i="2"/>
  <c r="AA34" i="2"/>
  <c r="AA33" i="2"/>
  <c r="AC31" i="2"/>
  <c r="AC32" i="2" s="1"/>
  <c r="AB31" i="2"/>
  <c r="AB32" i="2" s="1"/>
  <c r="AA31" i="2"/>
  <c r="AA32" i="2" s="1"/>
  <c r="Z31" i="2"/>
  <c r="Z32" i="2" s="1"/>
  <c r="Y31" i="2"/>
  <c r="Y32" i="2" s="1"/>
  <c r="N25" i="2"/>
  <c r="J16" i="2"/>
  <c r="I16" i="2"/>
  <c r="G16" i="2"/>
  <c r="F16" i="2"/>
  <c r="E16" i="2"/>
  <c r="D16" i="2"/>
  <c r="C16" i="2"/>
  <c r="Y60" i="4" l="1" a="1"/>
  <c r="Y60" i="4" s="1"/>
  <c r="Y58" i="4" a="1"/>
  <c r="Y58" i="4" s="1"/>
  <c r="Y61" i="4" a="1"/>
  <c r="Y61" i="4" s="1"/>
  <c r="Y67" i="4" a="1"/>
  <c r="Y67" i="4" s="1"/>
  <c r="Y62" i="4" a="1"/>
  <c r="Y62" i="4" s="1"/>
  <c r="Y63" i="4" a="1"/>
  <c r="Y63" i="4" s="1"/>
  <c r="Y64" i="4" a="1"/>
  <c r="Y64" i="4" s="1"/>
  <c r="Y66" i="4" a="1"/>
  <c r="Y66" i="4" s="1"/>
  <c r="Y65" i="4" a="1"/>
  <c r="Y65" i="4" s="1"/>
  <c r="G64" i="4" s="1" a="1"/>
  <c r="G64" i="4" s="1"/>
  <c r="Y59" i="4" a="1"/>
  <c r="Y59" i="4" s="1"/>
  <c r="I60" i="4" s="1" a="1"/>
  <c r="I60" i="4" s="1"/>
  <c r="H23" i="4"/>
  <c r="F23" i="4"/>
  <c r="G23" i="4"/>
  <c r="I23" i="4"/>
  <c r="I28" i="4"/>
  <c r="I27" i="4"/>
  <c r="F28" i="4"/>
  <c r="H28" i="4"/>
  <c r="H27" i="4"/>
  <c r="G28" i="4"/>
  <c r="G27" i="4"/>
  <c r="H60" i="4" a="1"/>
  <c r="H60" i="4" s="1"/>
  <c r="I59" i="4" a="1"/>
  <c r="I59" i="4" s="1"/>
  <c r="F60" i="4" a="1"/>
  <c r="F60" i="4" s="1"/>
  <c r="J59" i="4" a="1"/>
  <c r="J59" i="4" s="1"/>
  <c r="H58" i="4" a="1"/>
  <c r="H58" i="4" s="1"/>
  <c r="G60" i="4" l="1" a="1"/>
  <c r="G60" i="4" s="1"/>
  <c r="K58" i="4" a="1"/>
  <c r="K58" i="4" s="1"/>
  <c r="H61" i="4" a="1"/>
  <c r="H61" i="4" s="1"/>
  <c r="F59" i="4" a="1"/>
  <c r="F59" i="4" s="1"/>
  <c r="G59" i="4" a="1"/>
  <c r="G59" i="4" s="1"/>
  <c r="K64" i="4" a="1"/>
  <c r="K64" i="4" s="1"/>
  <c r="J58" i="4" a="1"/>
  <c r="J58" i="4" s="1"/>
  <c r="H64" i="4" a="1"/>
  <c r="H64" i="4" s="1"/>
  <c r="F64" i="4" a="1"/>
  <c r="F64" i="4" s="1"/>
  <c r="I58" i="4" a="1"/>
  <c r="I58" i="4" s="1"/>
  <c r="J60" i="4" a="1"/>
  <c r="J60" i="4" s="1"/>
  <c r="F61" i="4" a="1"/>
  <c r="F61" i="4" s="1"/>
  <c r="I64" i="4" a="1"/>
  <c r="I64" i="4" s="1"/>
  <c r="G58" i="4" a="1"/>
  <c r="G58" i="4" s="1"/>
  <c r="J61" i="4" a="1"/>
  <c r="J61" i="4" s="1"/>
  <c r="G61" i="4" a="1"/>
  <c r="G61" i="4" s="1"/>
  <c r="H59" i="4" a="1"/>
  <c r="H59" i="4" s="1"/>
  <c r="I61" i="4" a="1"/>
  <c r="I61" i="4" s="1"/>
  <c r="J64" i="4" a="1"/>
  <c r="J64" i="4" s="1"/>
  <c r="K59" i="4" a="1"/>
  <c r="K59" i="4" s="1"/>
  <c r="K60" i="4" a="1"/>
  <c r="K60" i="4" s="1"/>
  <c r="K61" i="4" a="1"/>
  <c r="K61" i="4" s="1"/>
  <c r="F58" i="4" a="1"/>
  <c r="F58" i="4" s="1"/>
  <c r="K62" i="4" a="1"/>
  <c r="K62" i="4" s="1"/>
  <c r="H62" i="4" a="1"/>
  <c r="H62" i="4" s="1"/>
  <c r="H63" i="4" a="1"/>
  <c r="H63" i="4" s="1"/>
  <c r="K63" i="4" a="1"/>
  <c r="K63" i="4" s="1"/>
  <c r="I63" i="4" a="1"/>
  <c r="I63" i="4" s="1"/>
  <c r="G62" i="4" a="1"/>
  <c r="G62" i="4" s="1"/>
  <c r="G63" i="4" a="1"/>
  <c r="G63" i="4" s="1"/>
  <c r="J62" i="4" a="1"/>
  <c r="J62" i="4" s="1"/>
  <c r="F62" i="4" a="1"/>
  <c r="F62" i="4" s="1"/>
  <c r="F63" i="4" a="1"/>
  <c r="F63" i="4" s="1"/>
  <c r="I62" i="4" a="1"/>
  <c r="I62" i="4" s="1"/>
  <c r="J63" i="4" a="1"/>
  <c r="J63" i="4" s="1"/>
  <c r="X59" i="4" l="1"/>
  <c r="C65" i="4" s="1"/>
  <c r="X60" i="4" l="1"/>
  <c r="C72" i="4" s="1"/>
  <c r="Z57" i="4"/>
  <c r="Z62" i="4" s="1" a="1"/>
  <c r="Z62" i="4" s="1"/>
  <c r="Z59" i="4" l="1" a="1"/>
  <c r="Z59" i="4" s="1"/>
  <c r="Z65" i="4" a="1"/>
  <c r="Z65" i="4" s="1"/>
  <c r="Z61" i="4" a="1"/>
  <c r="Z61" i="4" s="1"/>
  <c r="X61" i="4"/>
  <c r="X62" i="4" s="1" a="1"/>
  <c r="X62" i="4" s="1"/>
  <c r="C86" i="4" s="1"/>
  <c r="Z63" i="4" a="1"/>
  <c r="Z63" i="4" s="1"/>
  <c r="Z64" i="4" a="1"/>
  <c r="Z64" i="4" s="1"/>
  <c r="Z67" i="4" a="1"/>
  <c r="Z67" i="4" s="1"/>
  <c r="Z60" i="4" a="1"/>
  <c r="Z60" i="4" s="1"/>
  <c r="AA57" i="4"/>
  <c r="AA60" i="4" s="1" a="1"/>
  <c r="AA60" i="4" s="1"/>
  <c r="Z66" i="4" a="1"/>
  <c r="Z66" i="4" s="1"/>
  <c r="Z58" i="4" a="1"/>
  <c r="Z58" i="4" s="1"/>
  <c r="G66" i="4" a="1"/>
  <c r="G66" i="4" s="1"/>
  <c r="H67" i="4" a="1"/>
  <c r="H67" i="4" s="1"/>
  <c r="F66" i="4" a="1"/>
  <c r="F66" i="4" s="1"/>
  <c r="J66" i="4" a="1"/>
  <c r="J66" i="4" s="1"/>
  <c r="I66" i="4" a="1"/>
  <c r="I66" i="4" s="1"/>
  <c r="J68" i="4" a="1"/>
  <c r="J68" i="4" s="1"/>
  <c r="K67" i="4" a="1"/>
  <c r="K67" i="4" s="1"/>
  <c r="J67" i="4" a="1"/>
  <c r="J67" i="4" s="1"/>
  <c r="H71" i="4" a="1"/>
  <c r="H71" i="4" s="1"/>
  <c r="I67" i="4" a="1"/>
  <c r="I67" i="4" s="1"/>
  <c r="K68" i="4" a="1"/>
  <c r="K68" i="4" s="1"/>
  <c r="I65" i="4" a="1"/>
  <c r="I65" i="4" s="1"/>
  <c r="H65" i="4" a="1"/>
  <c r="H65" i="4" s="1"/>
  <c r="F68" i="4" a="1"/>
  <c r="F68" i="4" s="1"/>
  <c r="G68" i="4" a="1"/>
  <c r="G68" i="4" s="1"/>
  <c r="C79" i="4"/>
  <c r="F65" i="4" a="1"/>
  <c r="F65" i="4" s="1"/>
  <c r="G67" i="4" a="1"/>
  <c r="G67" i="4" s="1"/>
  <c r="J65" i="4" a="1"/>
  <c r="J65" i="4" s="1"/>
  <c r="K66" i="4" a="1"/>
  <c r="K66" i="4" s="1"/>
  <c r="K71" i="4" a="1"/>
  <c r="K71" i="4" s="1"/>
  <c r="J71" i="4" a="1"/>
  <c r="J71" i="4" s="1"/>
  <c r="H66" i="4" a="1"/>
  <c r="H66" i="4" s="1"/>
  <c r="I68" i="4" a="1"/>
  <c r="I68" i="4" s="1"/>
  <c r="H68" i="4" a="1"/>
  <c r="H68" i="4" s="1"/>
  <c r="I71" i="4" a="1"/>
  <c r="I71" i="4" s="1"/>
  <c r="G71" i="4" a="1"/>
  <c r="G71" i="4" s="1"/>
  <c r="F71" i="4" a="1"/>
  <c r="F71" i="4" s="1"/>
  <c r="K65" i="4" a="1"/>
  <c r="K65" i="4" s="1"/>
  <c r="G65" i="4" a="1"/>
  <c r="G65" i="4" s="1"/>
  <c r="F67" i="4" a="1"/>
  <c r="F67" i="4" s="1"/>
  <c r="G70" i="4" a="1"/>
  <c r="G70" i="4" s="1"/>
  <c r="I70" i="4" a="1"/>
  <c r="I70" i="4" s="1"/>
  <c r="I69" i="4" a="1"/>
  <c r="I69" i="4" s="1"/>
  <c r="H69" i="4" a="1"/>
  <c r="H69" i="4" s="1"/>
  <c r="F70" i="4" a="1"/>
  <c r="F70" i="4" s="1"/>
  <c r="K69" i="4" a="1"/>
  <c r="K69" i="4" s="1"/>
  <c r="H70" i="4" a="1"/>
  <c r="H70" i="4" s="1"/>
  <c r="G69" i="4" a="1"/>
  <c r="G69" i="4" s="1"/>
  <c r="F69" i="4" a="1"/>
  <c r="F69" i="4" s="1"/>
  <c r="J70" i="4" a="1"/>
  <c r="J70" i="4" s="1"/>
  <c r="J69" i="4" a="1"/>
  <c r="J69" i="4" s="1"/>
  <c r="K70" i="4" a="1"/>
  <c r="K70" i="4" s="1"/>
  <c r="AA65" i="4" l="1" a="1"/>
  <c r="AA65" i="4" s="1"/>
  <c r="AA63" i="4" a="1"/>
  <c r="AA63" i="4" s="1"/>
  <c r="AA58" i="4" a="1"/>
  <c r="AA58" i="4" s="1"/>
  <c r="AA59" i="4" a="1"/>
  <c r="AA59" i="4" s="1"/>
  <c r="AA66" i="4" a="1"/>
  <c r="AA66" i="4" s="1"/>
  <c r="X63" i="4" a="1"/>
  <c r="X63" i="4" s="1"/>
  <c r="C93" i="4" s="1"/>
  <c r="AA62" i="4" a="1"/>
  <c r="AA62" i="4" s="1"/>
  <c r="AB57" i="4"/>
  <c r="AB62" i="4" s="1" a="1"/>
  <c r="AB62" i="4" s="1"/>
  <c r="AA67" i="4" a="1"/>
  <c r="AA67" i="4" s="1"/>
  <c r="AA61" i="4" a="1"/>
  <c r="AA61" i="4" s="1"/>
  <c r="AA64" i="4" a="1"/>
  <c r="AA64" i="4" s="1"/>
  <c r="AC57" i="4"/>
  <c r="AC67" i="4" s="1" a="1"/>
  <c r="AC67" i="4" s="1"/>
  <c r="H73" i="4" a="1"/>
  <c r="H73" i="4" s="1"/>
  <c r="K73" i="4" a="1"/>
  <c r="K73" i="4" s="1"/>
  <c r="J74" i="4" a="1"/>
  <c r="J74" i="4" s="1"/>
  <c r="H75" i="4" a="1"/>
  <c r="H75" i="4" s="1"/>
  <c r="I73" i="4" a="1"/>
  <c r="I73" i="4" s="1"/>
  <c r="I74" i="4" a="1"/>
  <c r="I74" i="4" s="1"/>
  <c r="G78" i="4" a="1"/>
  <c r="G78" i="4" s="1"/>
  <c r="J78" i="4" a="1"/>
  <c r="J78" i="4" s="1"/>
  <c r="I72" i="4" a="1"/>
  <c r="I72" i="4" s="1"/>
  <c r="K75" i="4" a="1"/>
  <c r="K75" i="4" s="1"/>
  <c r="H72" i="4" a="1"/>
  <c r="H72" i="4" s="1"/>
  <c r="F73" i="4" a="1"/>
  <c r="F73" i="4" s="1"/>
  <c r="G75" i="4" a="1"/>
  <c r="G75" i="4" s="1"/>
  <c r="K78" i="4" a="1"/>
  <c r="K78" i="4" s="1"/>
  <c r="J75" i="4" a="1"/>
  <c r="J75" i="4" s="1"/>
  <c r="G74" i="4" a="1"/>
  <c r="G74" i="4" s="1"/>
  <c r="F75" i="4" a="1"/>
  <c r="F75" i="4" s="1"/>
  <c r="G72" i="4" a="1"/>
  <c r="G72" i="4" s="1"/>
  <c r="I75" i="4" a="1"/>
  <c r="I75" i="4" s="1"/>
  <c r="J73" i="4" a="1"/>
  <c r="J73" i="4" s="1"/>
  <c r="G73" i="4" a="1"/>
  <c r="G73" i="4" s="1"/>
  <c r="J72" i="4" a="1"/>
  <c r="J72" i="4" s="1"/>
  <c r="F72" i="4" a="1"/>
  <c r="F72" i="4" s="1"/>
  <c r="K72" i="4" a="1"/>
  <c r="K72" i="4" s="1"/>
  <c r="I78" i="4" a="1"/>
  <c r="I78" i="4" s="1"/>
  <c r="F78" i="4" a="1"/>
  <c r="F78" i="4" s="1"/>
  <c r="H78" i="4" a="1"/>
  <c r="H78" i="4" s="1"/>
  <c r="K74" i="4" a="1"/>
  <c r="K74" i="4" s="1"/>
  <c r="H74" i="4" a="1"/>
  <c r="H74" i="4" s="1"/>
  <c r="I77" i="4" a="1"/>
  <c r="I77" i="4" s="1"/>
  <c r="F77" i="4" a="1"/>
  <c r="F77" i="4" s="1"/>
  <c r="J76" i="4" a="1"/>
  <c r="J76" i="4" s="1"/>
  <c r="K76" i="4" a="1"/>
  <c r="K76" i="4" s="1"/>
  <c r="G77" i="4" a="1"/>
  <c r="G77" i="4" s="1"/>
  <c r="H77" i="4" a="1"/>
  <c r="H77" i="4" s="1"/>
  <c r="I76" i="4" a="1"/>
  <c r="I76" i="4" s="1"/>
  <c r="J77" i="4" a="1"/>
  <c r="J77" i="4" s="1"/>
  <c r="G76" i="4" a="1"/>
  <c r="G76" i="4" s="1"/>
  <c r="F76" i="4" a="1"/>
  <c r="F76" i="4" s="1"/>
  <c r="H76" i="4" a="1"/>
  <c r="H76" i="4" s="1"/>
  <c r="K77" i="4" a="1"/>
  <c r="K77" i="4" s="1"/>
  <c r="F74" i="4" a="1"/>
  <c r="F74" i="4" s="1"/>
  <c r="AC62" i="4" l="1" a="1"/>
  <c r="AC62" i="4" s="1"/>
  <c r="AC65" i="4" a="1"/>
  <c r="AC65" i="4" s="1"/>
  <c r="AC61" i="4" a="1"/>
  <c r="AC61" i="4" s="1"/>
  <c r="AC63" i="4" a="1"/>
  <c r="AC63" i="4" s="1"/>
  <c r="AC58" i="4" a="1"/>
  <c r="AC58" i="4" s="1"/>
  <c r="AC66" i="4" a="1"/>
  <c r="AC66" i="4" s="1"/>
  <c r="AC64" i="4" a="1"/>
  <c r="AC64" i="4" s="1"/>
  <c r="AC60" i="4" a="1"/>
  <c r="AC60" i="4" s="1"/>
  <c r="AC59" i="4" a="1"/>
  <c r="AC59" i="4" s="1"/>
  <c r="AB65" i="4" a="1"/>
  <c r="AB65" i="4" s="1"/>
  <c r="AB61" i="4" a="1"/>
  <c r="AB61" i="4" s="1"/>
  <c r="AB63" i="4" a="1"/>
  <c r="AB63" i="4" s="1"/>
  <c r="AB64" i="4" a="1"/>
  <c r="AB64" i="4" s="1"/>
  <c r="AB60" i="4" a="1"/>
  <c r="AB60" i="4" s="1"/>
  <c r="AB58" i="4" a="1"/>
  <c r="AB58" i="4" s="1"/>
  <c r="AB66" i="4" a="1"/>
  <c r="AB66" i="4" s="1"/>
  <c r="AB59" i="4" a="1"/>
  <c r="AB59" i="4" s="1"/>
  <c r="AB67" i="4" a="1"/>
  <c r="AB67" i="4" s="1"/>
  <c r="X64" i="4"/>
  <c r="AE57" i="4" s="1"/>
  <c r="AE67" i="4" s="1" a="1"/>
  <c r="AE67" i="4" s="1"/>
  <c r="AD57" i="4"/>
  <c r="AD61" i="4" s="1" a="1"/>
  <c r="AD61" i="4" s="1"/>
  <c r="H79" i="4" a="1"/>
  <c r="H79" i="4" s="1"/>
  <c r="J80" i="4" a="1"/>
  <c r="J80" i="4" s="1"/>
  <c r="H80" i="4" a="1"/>
  <c r="H80" i="4" s="1"/>
  <c r="G79" i="4" a="1"/>
  <c r="G79" i="4" s="1"/>
  <c r="F80" i="4" a="1"/>
  <c r="F80" i="4" s="1"/>
  <c r="G80" i="4" a="1"/>
  <c r="G80" i="4" s="1"/>
  <c r="K79" i="4" a="1"/>
  <c r="K79" i="4" s="1"/>
  <c r="K80" i="4" a="1"/>
  <c r="K80" i="4" s="1"/>
  <c r="J79" i="4" a="1"/>
  <c r="J79" i="4" s="1"/>
  <c r="G82" i="4" a="1"/>
  <c r="G82" i="4" s="1"/>
  <c r="J88" i="4" a="1"/>
  <c r="J88" i="4" s="1"/>
  <c r="H88" i="4" a="1"/>
  <c r="H88" i="4" s="1"/>
  <c r="G90" i="4" a="1"/>
  <c r="G90" i="4" s="1"/>
  <c r="H91" i="4" a="1"/>
  <c r="H91" i="4" s="1"/>
  <c r="I90" i="4" a="1"/>
  <c r="I90" i="4" s="1"/>
  <c r="I88" i="4" a="1"/>
  <c r="I88" i="4" s="1"/>
  <c r="K91" i="4" a="1"/>
  <c r="K91" i="4" s="1"/>
  <c r="F88" i="4" a="1"/>
  <c r="F88" i="4" s="1"/>
  <c r="H90" i="4" a="1"/>
  <c r="H90" i="4" s="1"/>
  <c r="K92" i="4" a="1"/>
  <c r="K92" i="4" s="1"/>
  <c r="F90" i="4" a="1"/>
  <c r="F90" i="4" s="1"/>
  <c r="I92" i="4" a="1"/>
  <c r="I92" i="4" s="1"/>
  <c r="J92" i="4" a="1"/>
  <c r="J92" i="4" s="1"/>
  <c r="G92" i="4" a="1"/>
  <c r="G92" i="4" s="1"/>
  <c r="K90" i="4" a="1"/>
  <c r="K90" i="4" s="1"/>
  <c r="F92" i="4" a="1"/>
  <c r="F92" i="4" s="1"/>
  <c r="J91" i="4" a="1"/>
  <c r="J91" i="4" s="1"/>
  <c r="G91" i="4" a="1"/>
  <c r="G91" i="4" s="1"/>
  <c r="F91" i="4" a="1"/>
  <c r="F91" i="4" s="1"/>
  <c r="K88" i="4" a="1"/>
  <c r="K88" i="4" s="1"/>
  <c r="G88" i="4" a="1"/>
  <c r="G88" i="4" s="1"/>
  <c r="J90" i="4" a="1"/>
  <c r="J90" i="4" s="1"/>
  <c r="I91" i="4" a="1"/>
  <c r="I91" i="4" s="1"/>
  <c r="H92" i="4" a="1"/>
  <c r="H92" i="4" s="1"/>
  <c r="F79" i="4" a="1"/>
  <c r="F79" i="4" s="1"/>
  <c r="I80" i="4" a="1"/>
  <c r="I80" i="4" s="1"/>
  <c r="H82" i="4" a="1"/>
  <c r="H82" i="4" s="1"/>
  <c r="F82" i="4" a="1"/>
  <c r="F82" i="4" s="1"/>
  <c r="I79" i="4" a="1"/>
  <c r="I79" i="4" s="1"/>
  <c r="J82" i="4" a="1"/>
  <c r="J82" i="4" s="1"/>
  <c r="C100" i="4"/>
  <c r="I82" i="4" a="1"/>
  <c r="I82" i="4" s="1"/>
  <c r="K82" i="4" a="1"/>
  <c r="K82" i="4" s="1"/>
  <c r="I81" i="4" a="1"/>
  <c r="I81" i="4" s="1"/>
  <c r="H85" i="4" a="1"/>
  <c r="H85" i="4" s="1"/>
  <c r="J84" i="4" a="1"/>
  <c r="J84" i="4" s="1"/>
  <c r="G83" i="4" a="1"/>
  <c r="G83" i="4" s="1"/>
  <c r="G84" i="4" a="1"/>
  <c r="G84" i="4" s="1"/>
  <c r="G85" i="4" a="1"/>
  <c r="G85" i="4" s="1"/>
  <c r="K83" i="4" a="1"/>
  <c r="K83" i="4" s="1"/>
  <c r="I83" i="4" a="1"/>
  <c r="I83" i="4" s="1"/>
  <c r="F83" i="4" a="1"/>
  <c r="F83" i="4" s="1"/>
  <c r="K85" i="4" a="1"/>
  <c r="K85" i="4" s="1"/>
  <c r="I84" i="4" a="1"/>
  <c r="I84" i="4" s="1"/>
  <c r="J81" i="4" a="1"/>
  <c r="J81" i="4" s="1"/>
  <c r="I85" i="4" a="1"/>
  <c r="I85" i="4" s="1"/>
  <c r="F85" i="4" a="1"/>
  <c r="F85" i="4" s="1"/>
  <c r="H81" i="4" a="1"/>
  <c r="H81" i="4" s="1"/>
  <c r="J85" i="4" a="1"/>
  <c r="J85" i="4" s="1"/>
  <c r="H84" i="4" a="1"/>
  <c r="H84" i="4" s="1"/>
  <c r="F81" i="4" a="1"/>
  <c r="F81" i="4" s="1"/>
  <c r="F84" i="4" a="1"/>
  <c r="F84" i="4" s="1"/>
  <c r="J83" i="4" a="1"/>
  <c r="J83" i="4" s="1"/>
  <c r="K81" i="4" a="1"/>
  <c r="K81" i="4" s="1"/>
  <c r="H83" i="4" a="1"/>
  <c r="H83" i="4" s="1"/>
  <c r="K84" i="4" a="1"/>
  <c r="K84" i="4" s="1"/>
  <c r="G81" i="4" a="1"/>
  <c r="G81" i="4" s="1"/>
  <c r="K89" i="4" a="1"/>
  <c r="K89" i="4" s="1"/>
  <c r="J89" i="4" a="1"/>
  <c r="J89" i="4" s="1"/>
  <c r="G89" i="4" a="1"/>
  <c r="G89" i="4" s="1"/>
  <c r="F89" i="4" a="1"/>
  <c r="F89" i="4" s="1"/>
  <c r="I89" i="4" a="1"/>
  <c r="I89" i="4" s="1"/>
  <c r="H89" i="4" a="1"/>
  <c r="H89" i="4" s="1"/>
  <c r="H87" i="4" a="1"/>
  <c r="H87" i="4" s="1"/>
  <c r="J87" i="4" a="1"/>
  <c r="J87" i="4" s="1"/>
  <c r="G87" i="4" a="1"/>
  <c r="G87" i="4" s="1"/>
  <c r="F87" i="4" a="1"/>
  <c r="F87" i="4" s="1"/>
  <c r="I87" i="4" a="1"/>
  <c r="I87" i="4" s="1"/>
  <c r="K87" i="4" a="1"/>
  <c r="K87" i="4" s="1"/>
  <c r="F86" i="4" a="1"/>
  <c r="F86" i="4" s="1"/>
  <c r="K86" i="4" a="1"/>
  <c r="K86" i="4" s="1"/>
  <c r="I86" i="4" a="1"/>
  <c r="I86" i="4" s="1"/>
  <c r="J86" i="4" a="1"/>
  <c r="J86" i="4" s="1"/>
  <c r="G86" i="4" a="1"/>
  <c r="G86" i="4" s="1"/>
  <c r="H86" i="4" a="1"/>
  <c r="H86" i="4" s="1"/>
  <c r="AD59" i="4" l="1" a="1"/>
  <c r="AD59" i="4" s="1"/>
  <c r="AD60" i="4" a="1"/>
  <c r="AD60" i="4" s="1"/>
  <c r="AD66" i="4" a="1"/>
  <c r="AD66" i="4" s="1"/>
  <c r="AD65" i="4" a="1"/>
  <c r="AD65" i="4" s="1"/>
  <c r="AD67" i="4" a="1"/>
  <c r="AD67" i="4" s="1"/>
  <c r="AD64" i="4" a="1"/>
  <c r="AD64" i="4" s="1"/>
  <c r="AD58" i="4" a="1"/>
  <c r="AD58" i="4" s="1"/>
  <c r="AD63" i="4" a="1"/>
  <c r="AD63" i="4" s="1"/>
  <c r="AD62" i="4" a="1"/>
  <c r="AD62" i="4" s="1"/>
  <c r="AE61" i="4" a="1"/>
  <c r="AE61" i="4" s="1"/>
  <c r="AE65" i="4" a="1"/>
  <c r="AE65" i="4" s="1"/>
  <c r="AE60" i="4" a="1"/>
  <c r="AE60" i="4" s="1"/>
  <c r="AE63" i="4" a="1"/>
  <c r="AE63" i="4" s="1"/>
  <c r="AE66" i="4" a="1"/>
  <c r="AE66" i="4" s="1"/>
  <c r="AE64" i="4" a="1"/>
  <c r="AE64" i="4" s="1"/>
  <c r="AE59" i="4" a="1"/>
  <c r="AE59" i="4" s="1"/>
  <c r="AE58" i="4" a="1"/>
  <c r="AE58" i="4" s="1"/>
  <c r="AE62" i="4" a="1"/>
  <c r="AE62" i="4" s="1"/>
  <c r="X65" i="4"/>
  <c r="C107" i="4" s="1"/>
  <c r="G102" i="4" a="1"/>
  <c r="G102" i="4" s="1"/>
  <c r="F104" i="4" a="1"/>
  <c r="F104" i="4" s="1"/>
  <c r="I106" i="4" a="1"/>
  <c r="I106" i="4" s="1"/>
  <c r="J106" i="4" a="1"/>
  <c r="J106" i="4" s="1"/>
  <c r="H106" i="4" a="1"/>
  <c r="H106" i="4" s="1"/>
  <c r="H105" i="4" a="1"/>
  <c r="H105" i="4" s="1"/>
  <c r="F105" i="4" a="1"/>
  <c r="F105" i="4" s="1"/>
  <c r="H102" i="4" a="1"/>
  <c r="H102" i="4" s="1"/>
  <c r="K104" i="4" a="1"/>
  <c r="K104" i="4" s="1"/>
  <c r="K106" i="4" a="1"/>
  <c r="K106" i="4" s="1"/>
  <c r="G104" i="4" a="1"/>
  <c r="G104" i="4" s="1"/>
  <c r="F106" i="4" a="1"/>
  <c r="F106" i="4" s="1"/>
  <c r="J104" i="4" a="1"/>
  <c r="J104" i="4" s="1"/>
  <c r="F102" i="4" a="1"/>
  <c r="F102" i="4" s="1"/>
  <c r="G106" i="4" a="1"/>
  <c r="G106" i="4" s="1"/>
  <c r="I105" i="4" a="1"/>
  <c r="I105" i="4" s="1"/>
  <c r="I102" i="4" a="1"/>
  <c r="I102" i="4" s="1"/>
  <c r="I104" i="4" a="1"/>
  <c r="I104" i="4" s="1"/>
  <c r="J105" i="4" a="1"/>
  <c r="J105" i="4" s="1"/>
  <c r="J102" i="4" a="1"/>
  <c r="J102" i="4" s="1"/>
  <c r="G105" i="4" a="1"/>
  <c r="G105" i="4" s="1"/>
  <c r="K105" i="4" a="1"/>
  <c r="K105" i="4" s="1"/>
  <c r="K102" i="4" a="1"/>
  <c r="K102" i="4" s="1"/>
  <c r="G99" i="4" a="1"/>
  <c r="G99" i="4" s="1"/>
  <c r="K95" i="4" a="1"/>
  <c r="K95" i="4" s="1"/>
  <c r="J97" i="4" a="1"/>
  <c r="J97" i="4" s="1"/>
  <c r="K97" i="4" a="1"/>
  <c r="K97" i="4" s="1"/>
  <c r="F98" i="4" a="1"/>
  <c r="F98" i="4" s="1"/>
  <c r="I99" i="4" a="1"/>
  <c r="I99" i="4" s="1"/>
  <c r="F95" i="4" a="1"/>
  <c r="F95" i="4" s="1"/>
  <c r="J98" i="4" a="1"/>
  <c r="J98" i="4" s="1"/>
  <c r="J99" i="4" a="1"/>
  <c r="J99" i="4" s="1"/>
  <c r="F99" i="4" a="1"/>
  <c r="F99" i="4" s="1"/>
  <c r="F97" i="4" a="1"/>
  <c r="F97" i="4" s="1"/>
  <c r="H98" i="4" a="1"/>
  <c r="H98" i="4" s="1"/>
  <c r="G95" i="4" a="1"/>
  <c r="G95" i="4" s="1"/>
  <c r="H97" i="4" a="1"/>
  <c r="H97" i="4" s="1"/>
  <c r="I95" i="4" a="1"/>
  <c r="I95" i="4" s="1"/>
  <c r="I98" i="4" a="1"/>
  <c r="I98" i="4" s="1"/>
  <c r="H99" i="4" a="1"/>
  <c r="H99" i="4" s="1"/>
  <c r="G98" i="4" a="1"/>
  <c r="G98" i="4" s="1"/>
  <c r="J95" i="4" a="1"/>
  <c r="J95" i="4" s="1"/>
  <c r="K98" i="4" a="1"/>
  <c r="K98" i="4" s="1"/>
  <c r="K99" i="4" a="1"/>
  <c r="K99" i="4" s="1"/>
  <c r="I97" i="4" a="1"/>
  <c r="I97" i="4" s="1"/>
  <c r="H95" i="4" a="1"/>
  <c r="H95" i="4" s="1"/>
  <c r="G97" i="4" a="1"/>
  <c r="G97" i="4" s="1"/>
  <c r="H104" i="4" a="1"/>
  <c r="H104" i="4" s="1"/>
  <c r="G93" i="4" a="1"/>
  <c r="G93" i="4" s="1"/>
  <c r="J93" i="4" a="1"/>
  <c r="J93" i="4" s="1"/>
  <c r="G96" i="4" a="1"/>
  <c r="G96" i="4" s="1"/>
  <c r="F96" i="4" a="1"/>
  <c r="F96" i="4" s="1"/>
  <c r="J96" i="4" a="1"/>
  <c r="J96" i="4" s="1"/>
  <c r="K96" i="4" a="1"/>
  <c r="K96" i="4" s="1"/>
  <c r="I96" i="4" a="1"/>
  <c r="I96" i="4" s="1"/>
  <c r="H96" i="4" a="1"/>
  <c r="H96" i="4" s="1"/>
  <c r="J94" i="4" a="1"/>
  <c r="J94" i="4" s="1"/>
  <c r="I94" i="4" a="1"/>
  <c r="I94" i="4" s="1"/>
  <c r="H94" i="4" a="1"/>
  <c r="H94" i="4" s="1"/>
  <c r="G94" i="4" a="1"/>
  <c r="G94" i="4" s="1"/>
  <c r="F94" i="4" a="1"/>
  <c r="F94" i="4" s="1"/>
  <c r="K94" i="4" a="1"/>
  <c r="K94" i="4" s="1"/>
  <c r="K93" i="4" a="1"/>
  <c r="K93" i="4" s="1"/>
  <c r="F93" i="4" a="1"/>
  <c r="F93" i="4" s="1"/>
  <c r="H93" i="4" a="1"/>
  <c r="H93" i="4" s="1"/>
  <c r="I93" i="4" a="1"/>
  <c r="I93" i="4" s="1"/>
  <c r="X66" i="4" l="1"/>
  <c r="AG57" i="4" s="1"/>
  <c r="AG62" i="4" s="1" a="1"/>
  <c r="AG62" i="4" s="1"/>
  <c r="AF57" i="4"/>
  <c r="AF62" i="4" s="1" a="1"/>
  <c r="AF62" i="4" s="1"/>
  <c r="C114" i="4"/>
  <c r="J100" i="4" a="1"/>
  <c r="J100" i="4" s="1"/>
  <c r="F100" i="4" a="1"/>
  <c r="F100" i="4" s="1"/>
  <c r="G100" i="4" a="1"/>
  <c r="G100" i="4" s="1"/>
  <c r="I100" i="4" a="1"/>
  <c r="I100" i="4" s="1"/>
  <c r="I103" i="4" a="1"/>
  <c r="I103" i="4" s="1"/>
  <c r="G103" i="4" a="1"/>
  <c r="G103" i="4" s="1"/>
  <c r="J103" i="4" a="1"/>
  <c r="J103" i="4" s="1"/>
  <c r="F103" i="4" a="1"/>
  <c r="F103" i="4" s="1"/>
  <c r="H103" i="4" a="1"/>
  <c r="H103" i="4" s="1"/>
  <c r="K103" i="4" a="1"/>
  <c r="K103" i="4" s="1"/>
  <c r="K101" i="4" a="1"/>
  <c r="K101" i="4" s="1"/>
  <c r="F101" i="4" a="1"/>
  <c r="F101" i="4" s="1"/>
  <c r="J101" i="4" a="1"/>
  <c r="J101" i="4" s="1"/>
  <c r="I101" i="4" a="1"/>
  <c r="I101" i="4" s="1"/>
  <c r="H101" i="4" a="1"/>
  <c r="H101" i="4" s="1"/>
  <c r="G101" i="4" a="1"/>
  <c r="G101" i="4" s="1"/>
  <c r="K100" i="4" a="1"/>
  <c r="K100" i="4" s="1"/>
  <c r="H100" i="4" a="1"/>
  <c r="H100" i="4" s="1"/>
  <c r="AF65" i="4" l="1" a="1"/>
  <c r="AF65" i="4" s="1"/>
  <c r="AF64" i="4" a="1"/>
  <c r="AF64" i="4" s="1"/>
  <c r="AF61" i="4" a="1"/>
  <c r="AF61" i="4" s="1"/>
  <c r="AF60" i="4" a="1"/>
  <c r="AF60" i="4" s="1"/>
  <c r="AF58" i="4" a="1"/>
  <c r="AF58" i="4" s="1"/>
  <c r="AF63" i="4" a="1"/>
  <c r="AF63" i="4" s="1"/>
  <c r="AF66" i="4" a="1"/>
  <c r="AF66" i="4" s="1"/>
  <c r="AF67" i="4" a="1"/>
  <c r="AF67" i="4" s="1"/>
  <c r="AF59" i="4" a="1"/>
  <c r="AF59" i="4" s="1"/>
  <c r="X67" i="4"/>
  <c r="AH57" i="4" s="1"/>
  <c r="AH62" i="4" s="1" a="1"/>
  <c r="AH62" i="4" s="1"/>
  <c r="AG60" i="4" a="1"/>
  <c r="AG60" i="4" s="1"/>
  <c r="AG58" i="4" a="1"/>
  <c r="AG58" i="4" s="1"/>
  <c r="AG59" i="4" a="1"/>
  <c r="AG59" i="4" s="1"/>
  <c r="AG66" i="4" a="1"/>
  <c r="AG66" i="4" s="1"/>
  <c r="AG67" i="4" a="1"/>
  <c r="AG67" i="4" s="1"/>
  <c r="AG63" i="4" a="1"/>
  <c r="AG63" i="4" s="1"/>
  <c r="AG65" i="4" a="1"/>
  <c r="AG65" i="4" s="1"/>
  <c r="AG61" i="4" a="1"/>
  <c r="AG61" i="4" s="1"/>
  <c r="AG64" i="4" a="1"/>
  <c r="AG64" i="4" s="1"/>
  <c r="K110" i="4" a="1"/>
  <c r="K110" i="4" s="1"/>
  <c r="I120" i="4" a="1"/>
  <c r="I120" i="4" s="1"/>
  <c r="G108" i="4" a="1"/>
  <c r="G108" i="4" s="1"/>
  <c r="H120" i="4" a="1"/>
  <c r="H120" i="4" s="1"/>
  <c r="C121" i="4"/>
  <c r="H108" i="4" a="1"/>
  <c r="H108" i="4" s="1"/>
  <c r="K108" i="4" a="1"/>
  <c r="K108" i="4" s="1"/>
  <c r="J107" i="4" a="1"/>
  <c r="J107" i="4" s="1"/>
  <c r="K120" i="4" a="1"/>
  <c r="K120" i="4" s="1"/>
  <c r="J110" i="4" a="1"/>
  <c r="J110" i="4" s="1"/>
  <c r="F108" i="4" a="1"/>
  <c r="F108" i="4" s="1"/>
  <c r="F107" i="4" a="1"/>
  <c r="F107" i="4" s="1"/>
  <c r="G116" i="4" a="1"/>
  <c r="G116" i="4" s="1"/>
  <c r="F110" i="4" a="1"/>
  <c r="F110" i="4" s="1"/>
  <c r="I108" i="4" a="1"/>
  <c r="I108" i="4" s="1"/>
  <c r="H107" i="4" a="1"/>
  <c r="H107" i="4" s="1"/>
  <c r="G107" i="4" a="1"/>
  <c r="G107" i="4" s="1"/>
  <c r="F120" i="4" a="1"/>
  <c r="F120" i="4" s="1"/>
  <c r="F118" i="4" a="1"/>
  <c r="F118" i="4" s="1"/>
  <c r="K107" i="4" a="1"/>
  <c r="K107" i="4" s="1"/>
  <c r="H110" i="4" a="1"/>
  <c r="H110" i="4" s="1"/>
  <c r="G120" i="4" a="1"/>
  <c r="G120" i="4" s="1"/>
  <c r="G119" i="4" a="1"/>
  <c r="G119" i="4" s="1"/>
  <c r="I107" i="4" a="1"/>
  <c r="I107" i="4" s="1"/>
  <c r="I110" i="4" a="1"/>
  <c r="I110" i="4" s="1"/>
  <c r="J108" i="4" a="1"/>
  <c r="J108" i="4" s="1"/>
  <c r="G110" i="4" a="1"/>
  <c r="G110" i="4" s="1"/>
  <c r="K118" i="4" a="1"/>
  <c r="K118" i="4" s="1"/>
  <c r="I119" i="4" a="1"/>
  <c r="I119" i="4" s="1"/>
  <c r="F116" i="4" a="1"/>
  <c r="F116" i="4" s="1"/>
  <c r="G118" i="4" a="1"/>
  <c r="G118" i="4" s="1"/>
  <c r="H118" i="4" a="1"/>
  <c r="H118" i="4" s="1"/>
  <c r="F119" i="4" a="1"/>
  <c r="F119" i="4" s="1"/>
  <c r="J119" i="4" a="1"/>
  <c r="J119" i="4" s="1"/>
  <c r="J118" i="4" a="1"/>
  <c r="J118" i="4" s="1"/>
  <c r="H116" i="4" a="1"/>
  <c r="H116" i="4" s="1"/>
  <c r="K112" i="4" a="1"/>
  <c r="K112" i="4" s="1"/>
  <c r="H112" i="4" a="1"/>
  <c r="H112" i="4" s="1"/>
  <c r="I112" i="4" a="1"/>
  <c r="I112" i="4" s="1"/>
  <c r="J109" i="4" a="1"/>
  <c r="J109" i="4" s="1"/>
  <c r="I113" i="4" a="1"/>
  <c r="I113" i="4" s="1"/>
  <c r="F112" i="4" a="1"/>
  <c r="F112" i="4" s="1"/>
  <c r="I111" i="4" a="1"/>
  <c r="I111" i="4" s="1"/>
  <c r="I109" i="4" a="1"/>
  <c r="I109" i="4" s="1"/>
  <c r="J113" i="4" a="1"/>
  <c r="J113" i="4" s="1"/>
  <c r="K111" i="4" a="1"/>
  <c r="K111" i="4" s="1"/>
  <c r="K113" i="4" a="1"/>
  <c r="K113" i="4" s="1"/>
  <c r="G111" i="4" a="1"/>
  <c r="G111" i="4" s="1"/>
  <c r="J111" i="4" a="1"/>
  <c r="J111" i="4" s="1"/>
  <c r="F111" i="4" a="1"/>
  <c r="F111" i="4" s="1"/>
  <c r="H109" i="4" a="1"/>
  <c r="H109" i="4" s="1"/>
  <c r="H111" i="4" a="1"/>
  <c r="H111" i="4" s="1"/>
  <c r="F113" i="4" a="1"/>
  <c r="F113" i="4" s="1"/>
  <c r="J112" i="4" a="1"/>
  <c r="J112" i="4" s="1"/>
  <c r="G109" i="4" a="1"/>
  <c r="G109" i="4" s="1"/>
  <c r="F109" i="4" a="1"/>
  <c r="F109" i="4" s="1"/>
  <c r="G112" i="4" a="1"/>
  <c r="G112" i="4" s="1"/>
  <c r="G113" i="4" a="1"/>
  <c r="G113" i="4" s="1"/>
  <c r="H113" i="4" a="1"/>
  <c r="H113" i="4" s="1"/>
  <c r="K109" i="4" a="1"/>
  <c r="K109" i="4" s="1"/>
  <c r="K119" i="4" a="1"/>
  <c r="K119" i="4" s="1"/>
  <c r="H119" i="4" a="1"/>
  <c r="H119" i="4" s="1"/>
  <c r="I116" i="4" a="1"/>
  <c r="I116" i="4" s="1"/>
  <c r="J116" i="4" a="1"/>
  <c r="J116" i="4" s="1"/>
  <c r="K116" i="4" a="1"/>
  <c r="K116" i="4" s="1"/>
  <c r="J120" i="4" a="1"/>
  <c r="J120" i="4" s="1"/>
  <c r="I118" i="4" a="1"/>
  <c r="I118" i="4" s="1"/>
  <c r="J114" i="4" a="1"/>
  <c r="J114" i="4" s="1"/>
  <c r="K114" i="4" a="1"/>
  <c r="K114" i="4" s="1"/>
  <c r="K117" i="4" a="1"/>
  <c r="K117" i="4" s="1"/>
  <c r="G117" i="4" a="1"/>
  <c r="G117" i="4" s="1"/>
  <c r="J117" i="4" a="1"/>
  <c r="J117" i="4" s="1"/>
  <c r="H117" i="4" a="1"/>
  <c r="H117" i="4" s="1"/>
  <c r="I117" i="4" a="1"/>
  <c r="I117" i="4" s="1"/>
  <c r="F117" i="4" a="1"/>
  <c r="F117" i="4" s="1"/>
  <c r="H115" i="4" a="1"/>
  <c r="H115" i="4" s="1"/>
  <c r="G115" i="4" a="1"/>
  <c r="G115" i="4" s="1"/>
  <c r="I115" i="4" a="1"/>
  <c r="I115" i="4" s="1"/>
  <c r="F115" i="4" a="1"/>
  <c r="F115" i="4" s="1"/>
  <c r="J115" i="4" a="1"/>
  <c r="J115" i="4" s="1"/>
  <c r="K115" i="4" a="1"/>
  <c r="K115" i="4" s="1"/>
  <c r="I114" i="4" a="1"/>
  <c r="I114" i="4" s="1"/>
  <c r="F114" i="4" a="1"/>
  <c r="F114" i="4" s="1"/>
  <c r="G114" i="4" a="1"/>
  <c r="G114" i="4" s="1"/>
  <c r="H114" i="4" a="1"/>
  <c r="H114" i="4" s="1"/>
  <c r="AH58" i="4" l="1" a="1"/>
  <c r="AH58" i="4" s="1"/>
  <c r="AH67" i="4" a="1"/>
  <c r="AH67" i="4" s="1"/>
  <c r="AH61" i="4" a="1"/>
  <c r="AH61" i="4" s="1"/>
  <c r="AH60" i="4" a="1"/>
  <c r="AH60" i="4" s="1"/>
  <c r="AH65" i="4" a="1"/>
  <c r="AH65" i="4" s="1"/>
  <c r="AH64" i="4" a="1"/>
  <c r="AH64" i="4" s="1"/>
  <c r="AH66" i="4" a="1"/>
  <c r="AH66" i="4" s="1"/>
  <c r="AH63" i="4" a="1"/>
  <c r="AH63" i="4" s="1"/>
  <c r="AH59" i="4" a="1"/>
  <c r="AH59" i="4" s="1"/>
  <c r="J126" i="4" a="1"/>
  <c r="J126" i="4" s="1"/>
  <c r="H125" i="4" a="1"/>
  <c r="H125" i="4" s="1"/>
  <c r="K126" i="4" a="1"/>
  <c r="K126" i="4" s="1"/>
  <c r="H123" i="4" a="1"/>
  <c r="H123" i="4" s="1"/>
  <c r="F126" i="4" a="1"/>
  <c r="F126" i="4" s="1"/>
  <c r="K123" i="4" a="1"/>
  <c r="K123" i="4" s="1"/>
  <c r="I125" i="4" a="1"/>
  <c r="I125" i="4" s="1"/>
  <c r="G125" i="4" a="1"/>
  <c r="G125" i="4" s="1"/>
  <c r="G123" i="4" a="1"/>
  <c r="G123" i="4" s="1"/>
  <c r="J125" i="4" a="1"/>
  <c r="J125" i="4" s="1"/>
  <c r="F123" i="4" a="1"/>
  <c r="F123" i="4" s="1"/>
  <c r="H126" i="4" a="1"/>
  <c r="H126" i="4" s="1"/>
  <c r="I123" i="4" a="1"/>
  <c r="I123" i="4" s="1"/>
  <c r="F125" i="4" a="1"/>
  <c r="F125" i="4" s="1"/>
  <c r="K125" i="4" a="1"/>
  <c r="K125" i="4" s="1"/>
  <c r="J123" i="4" a="1"/>
  <c r="J123" i="4" s="1"/>
  <c r="I126" i="4" a="1"/>
  <c r="I126" i="4" s="1"/>
  <c r="G126" i="4" a="1"/>
  <c r="G126" i="4" s="1"/>
  <c r="G124" i="4" a="1"/>
  <c r="G124" i="4" s="1"/>
  <c r="F124" i="4" a="1"/>
  <c r="F124" i="4" s="1"/>
  <c r="J124" i="4" a="1"/>
  <c r="J124" i="4" s="1"/>
  <c r="H124" i="4" a="1"/>
  <c r="H124" i="4" s="1"/>
  <c r="K124" i="4" a="1"/>
  <c r="K124" i="4" s="1"/>
  <c r="I124" i="4" a="1"/>
  <c r="I124" i="4" s="1"/>
  <c r="J122" i="4" a="1"/>
  <c r="J122" i="4" s="1"/>
  <c r="G127" i="4" a="1"/>
  <c r="G127" i="4" s="1"/>
  <c r="K122" i="4" a="1"/>
  <c r="K122" i="4" s="1"/>
  <c r="F121" i="4" a="1"/>
  <c r="F121" i="4" s="1"/>
  <c r="I122" i="4" a="1"/>
  <c r="I122" i="4" s="1"/>
  <c r="F127" i="4" a="1"/>
  <c r="F127" i="4" s="1"/>
  <c r="H122" i="4" a="1"/>
  <c r="H122" i="4" s="1"/>
  <c r="K121" i="4" a="1"/>
  <c r="K121" i="4" s="1"/>
  <c r="G122" i="4" a="1"/>
  <c r="G122" i="4" s="1"/>
  <c r="J121" i="4" a="1"/>
  <c r="J121" i="4" s="1"/>
  <c r="I127" i="4" a="1"/>
  <c r="I127" i="4" s="1"/>
  <c r="F122" i="4" a="1"/>
  <c r="F122" i="4" s="1"/>
  <c r="K127" i="4" a="1"/>
  <c r="K127" i="4" s="1"/>
  <c r="I121" i="4" a="1"/>
  <c r="I121" i="4" s="1"/>
  <c r="J127" i="4" a="1"/>
  <c r="J127" i="4" s="1"/>
  <c r="H121" i="4" a="1"/>
  <c r="H121" i="4" s="1"/>
  <c r="G121" i="4" a="1"/>
  <c r="G121" i="4" s="1"/>
  <c r="H127" i="4" a="1"/>
  <c r="H127" i="4" s="1"/>
  <c r="I460" i="15"/>
  <c r="H456" i="15"/>
  <c r="I456" i="15"/>
  <c r="I437" i="15"/>
  <c r="H437" i="15"/>
  <c r="H450" i="15"/>
  <c r="I450" i="15"/>
  <c r="H434" i="15"/>
  <c r="I434" i="15"/>
  <c r="H440" i="15"/>
  <c r="I440" i="15"/>
  <c r="H449" i="15"/>
  <c r="I449" i="15"/>
  <c r="H458" i="15"/>
  <c r="I458" i="15"/>
  <c r="I455" i="15"/>
  <c r="H455" i="15"/>
  <c r="I439" i="15"/>
  <c r="H439" i="15"/>
  <c r="I443" i="15"/>
  <c r="H443" i="15"/>
  <c r="I454" i="15"/>
  <c r="H454" i="15"/>
  <c r="I438" i="15"/>
  <c r="H438" i="15"/>
  <c r="I444" i="15"/>
  <c r="H444" i="15"/>
  <c r="H460" i="15"/>
  <c r="H433" i="15"/>
  <c r="I433" i="15"/>
  <c r="H453" i="15"/>
  <c r="I453" i="15"/>
  <c r="H445" i="15"/>
  <c r="I445" i="15"/>
  <c r="I442" i="15"/>
  <c r="H442" i="15"/>
  <c r="I432" i="15"/>
  <c r="H432" i="15"/>
  <c r="I448" i="15"/>
  <c r="H448" i="15"/>
  <c r="I441" i="15"/>
  <c r="H441" i="15"/>
  <c r="I457" i="15"/>
  <c r="H457" i="15"/>
  <c r="H459" i="15"/>
  <c r="I459" i="15"/>
  <c r="H447" i="15"/>
  <c r="I447" i="15"/>
  <c r="H435" i="15"/>
  <c r="I435" i="15"/>
  <c r="H451" i="15"/>
  <c r="I451" i="15"/>
  <c r="H446" i="15"/>
  <c r="I446" i="15"/>
  <c r="H436" i="15"/>
  <c r="I436" i="15"/>
  <c r="H452" i="15"/>
  <c r="I452" i="15"/>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<sst xmlns="http://schemas.openxmlformats.org/spreadsheetml/2006/main" count="7401" uniqueCount="1899">
  <si>
    <t>Welcome to the GHG Emissions Calculation Tool</t>
  </si>
  <si>
    <t>A calculation tool for estimating GHG emissions based on the GHG Protocol</t>
  </si>
  <si>
    <t>● How to use this tool:</t>
  </si>
  <si>
    <t xml:space="preserve">• Fill in company and facility information in the "Parameters" sheet. Also, provide any custom emission factors here for use in subsequent worksheets.
• The tool uses default emission factors, which vary by country. These are free to use and publicly available, and the tool includes links of where to obtain them. Currently, separate sets of emission factors are available for the UK and US. Location-based Scope 2 emission factors are also available for the US, Canada and Australia, while market-based residual mix emission factors are available for the US, Canada and all European counties. 
• On the "Parameters" tab, users can supply custom emission factors, adjust the default global warming potentials and choose whether to use radiative forcing factors for air travel.
• The maximum number of facilities for this tool is 10. Additional rows cannot be added to the Facility table.
• Use each of the sheets to input inventory data for the various activities. Make sure to choose custom emission factors, if any, and to select the proper units.
• If the results don't show, please make sure that all the relevant options have been selected and that the correct Emission Factors have been chosen.
• To add more rows to any table, click on the "Insert Row" button next to the table. Do not try adding rows manually as that might affect the cell formulae.
• The GHG emissions results for each activity types are provided in the "Results Summary" sheet, with an option to print the results.
 </t>
  </si>
  <si>
    <t>Data entry fields are color-coded as follows to guide you:</t>
  </si>
  <si>
    <t xml:space="preserve">     light blue: numerical or text data entry</t>
  </si>
  <si>
    <t xml:space="preserve">     orange: option selection (dropdown data entry field)</t>
  </si>
  <si>
    <t xml:space="preserve">     light gray: data that you cannot edit on the current page</t>
  </si>
  <si>
    <t>teal: cells that should not be edited as they are not relevant for the selected options</t>
  </si>
  <si>
    <t>Disclaimer: the tool does not necessarily cover all sources relevant to the user</t>
  </si>
  <si>
    <t xml:space="preserve">This tool covers the following cross-sectoral emission sources:
   Scope 1 - Stationary Combustion, Mobile Combustion, and Fugitive Emissions from Air Conditioning
   Scope 2 - Purchased Electricity and Purchased Heat/Steam
   Scope 3 - Upstream Transportation and Distribution, Business Travel, and Employee Commuting
Companies will have other emissions sources in their value chain and potentially also their internal operations. Companies should strive to calculate these other emissions, when appropriate. The WRI/Quantis Scope 3 Evaluator offers one approach for estimating emissions for a number of upstream scope 3 categories. </t>
  </si>
  <si>
    <t>Designed and built by</t>
  </si>
  <si>
    <t>Parameters</t>
  </si>
  <si>
    <t>Enter company information, choose the GWP dataset (AR4 or AR5), and select whether to use RF factors for Business Air Travel emissions.</t>
  </si>
  <si>
    <r>
      <t xml:space="preserve">Enter the facility information including name, location (city and country), Facility ID and Grid Region. 
</t>
    </r>
    <r>
      <rPr>
        <sz val="11"/>
        <color rgb="FFFF0000"/>
        <rFont val="Calibri"/>
        <family val="2"/>
        <scheme val="minor"/>
      </rPr>
      <t>NOTE: The Grid Region is important to select for Scope 2 Purchased Electricity calculations. This drop-down will populate based on the selection of the facility country</t>
    </r>
  </si>
  <si>
    <t>Enter information for Custom Emission Factors if any are used in the Custom Emission Factors table. This list will be shown on the calculation tables if "Custom Emission Factors" are chosen in the table for each calculation.</t>
  </si>
  <si>
    <t>Examples of calculations are provided throughout the tool. Please ensure that you remove these example calculations, so they are not included in your final results</t>
  </si>
  <si>
    <t>S1 - Stationary Combustion</t>
  </si>
  <si>
    <t>Enter Facility ID and Year from the drop-downs.</t>
  </si>
  <si>
    <t>Select the relevant "Custom Emission Factors" drop-down. 
NOTE: This is important to select even if you are not using custom emission factors. Fuel drop-down only becomes available once the Custom Emission Factors drop-down is selected as “No”. If the Custom Emission Factors is selected as “Yes”, the drop-down will connect to the Custom Emission Factors table in the “Parameters” tab.</t>
  </si>
  <si>
    <t>The Fuel drop-down will display options based on the previous field selection. If "Custom Emission Factors" are selected as yes, the field will populate from the Custom Emission Factors table in the Parameters Tab.</t>
  </si>
  <si>
    <t>Enter the amount of fuel used and the units.</t>
  </si>
  <si>
    <t>Total GHG emissions for that activity will be calculated at the bottom of the table and will be available in the Results Summary Tab.</t>
  </si>
  <si>
    <t>S1 - Mobile Combustion</t>
  </si>
  <si>
    <t>Enter Facility ID and Year from the drop-downs. The Description field is optional and can be added as well.</t>
  </si>
  <si>
    <t>Enter Activity Type. 
NOTE: When “custom emission factor” is selected, the drop-downs are connect to the Custom Emission Factors table in the “Parameters” tab, so will have to enter the custom emission factor in that table for it to show up.</t>
  </si>
  <si>
    <t>Select the relevant Fuel Source and Vehicle Type for all Activity Types.</t>
  </si>
  <si>
    <r>
      <t xml:space="preserve">Enter the Activity Amount and Units. The Units will change depending on the Activity Type selected. 
</t>
    </r>
    <r>
      <rPr>
        <sz val="11"/>
        <color rgb="FFFF0000"/>
        <rFont val="Calibri"/>
        <family val="2"/>
        <scheme val="minor"/>
      </rPr>
      <t>NOTE: Distance Activity will have Units in distance. For Distance Activity, a default mileage value will be used for vehicles that is available in the emission factors tab</t>
    </r>
  </si>
  <si>
    <t>S1 - Refrigerants</t>
  </si>
  <si>
    <t>Choose the relevant calculation method from the "Calculation Method" drop-down.</t>
  </si>
  <si>
    <t>Based on the calculation method selection, the appropriate table will appear to enter data for refrigerant use.</t>
  </si>
  <si>
    <t>Enter all information in the Table, including the Year, Facility ID, type of refrigerant used and quantity.</t>
  </si>
  <si>
    <t>S2 - Purchased Electricity</t>
  </si>
  <si>
    <t>Enter the amount of electricity/heat consumption and the units.</t>
  </si>
  <si>
    <t>Choose the correct calculation approach. 
NOTE: Each approach has the option to select a Custom Emission Factor and the Grid Average Emission Factor. The Purchased Electricity - Market Based option has an additional option to select the Residual Mix emission factors. When “custom emission factor” is selected, the drop-downs are connect to the Custom Emission Factors table in the “Parameters” tab, so the custom emission factor must be entered in that table for it to show up.</t>
  </si>
  <si>
    <t xml:space="preserve"> It is important to select the Grid Region for the Facility in the "Parameters" Tab for the correct emission factor to show. If the selected region does not have an associated emission factor, the cell will remain blank.</t>
  </si>
  <si>
    <t>S3 - Transport</t>
  </si>
  <si>
    <t>Enter the Year from the drop-down. The Description field is optional and can be added as well.</t>
  </si>
  <si>
    <r>
      <t xml:space="preserve">Choose Category and Emission Factor Dataset. 
</t>
    </r>
    <r>
      <rPr>
        <sz val="11"/>
        <color rgb="FFFF0000"/>
        <rFont val="Calibri"/>
        <family val="2"/>
        <scheme val="minor"/>
      </rPr>
      <t>NOTE: When “custom emission factor” is selected, the drop-downs are connect to the Custom Emission Factors table in the “Parameters” tab, so will have to enter the custom emission factor in that table for it to show up.</t>
    </r>
  </si>
  <si>
    <t>Select the relevant Mode of Transport, Activity Type and Vehicle Type</t>
  </si>
  <si>
    <r>
      <t xml:space="preserve">Enter the Activity Amount and Units. The Units will change depending on the Activity Type selected. 
</t>
    </r>
    <r>
      <rPr>
        <sz val="11"/>
        <color rgb="FFFF0000"/>
        <rFont val="Calibri"/>
        <family val="2"/>
        <scheme val="minor"/>
      </rPr>
      <t>NOTE: If emission values do not appear, change the Activity Type and units. Values do not calculate for all drop-downs due to unit conversions</t>
    </r>
  </si>
  <si>
    <t>Total GHG emissions for that activity will be calculated at the bottom of the table and will be available in the Results Summary Tab</t>
  </si>
  <si>
    <t>Name of Business</t>
  </si>
  <si>
    <t>Prepared By</t>
  </si>
  <si>
    <t>GWP dataset (IPCC assessment)</t>
  </si>
  <si>
    <t>2014 IPCC Fifth Assessment</t>
  </si>
  <si>
    <t>● Use of the latest GWP values is recommended. Link to the GHGP accounting note on the use of alternative factor sets:</t>
  </si>
  <si>
    <t>https://ghgprotocol.org/sites/default/files/standards_supporting/Required%20gases%20and%20GWP%20values_0.pdf</t>
  </si>
  <si>
    <t>Uplift to Business Air Travel emissions using RF factors?</t>
  </si>
  <si>
    <t>Yes</t>
  </si>
  <si>
    <t xml:space="preserve">●  Radiative forcing (RF) is a measure of the additional environmental impact of aviation. These include emissions of nitrous oxides and water vapour when emitted at high altitude. </t>
  </si>
  <si>
    <t>●  Organisations should include the influence of radiative forcing RF in air travel emissions to capture the maximum climate impact of their travel habits. However, it should be noted that there is very significant scientific uncertainty around the magnitude of the additional environmental impacts of aviation. Further information on this uncertainty is provided in the accompanying 'Methodology paper'.</t>
  </si>
  <si>
    <t>●  Organisations should produce comparable reporting. Therefore, they should avoid reporting with uplifted air travel conversion factors in one year and without in another year as this may skew the interpretation of their reporting.</t>
  </si>
  <si>
    <t>Inventory Data</t>
  </si>
  <si>
    <t>Inventory Year</t>
  </si>
  <si>
    <t>Start Date</t>
  </si>
  <si>
    <t>End Date</t>
  </si>
  <si>
    <t>Exclusions</t>
  </si>
  <si>
    <t>Number of Days</t>
  </si>
  <si>
    <t>Facility Information</t>
  </si>
  <si>
    <t>Facility info</t>
  </si>
  <si>
    <t>Location (City)</t>
  </si>
  <si>
    <t>Location (Country)</t>
  </si>
  <si>
    <t>Facility ID</t>
  </si>
  <si>
    <t>Grid Region</t>
  </si>
  <si>
    <t>● To locate the grid region for a facility in the US: US EPA, Power Profiler ZIP Code Tool with eGRID2016 Data. Version 9.0, March 9, 2020. File name:</t>
  </si>
  <si>
    <t>Ontario</t>
  </si>
  <si>
    <t>AKGD</t>
  </si>
  <si>
    <t>power_profiler_zipcode_tool_2018_3_09_20._v9.xlsx</t>
  </si>
  <si>
    <t>https://epa.gov/sites/production/files/2020-03/power_profiler_zipcode_tool_2018_3_09_20._v9.xlsx</t>
  </si>
  <si>
    <t>● For countries other than the United States, Canada or Australia, enter the country name under the Grid Region Column</t>
  </si>
  <si>
    <t>● Default grid Region is EU. To select others, enter "USA" or "Canada" or "Australia". For all other regions, use custom emission factors.</t>
  </si>
  <si>
    <t>● This tool allows for a maximum of 10 facilities. Facility ID can be changed based on the company's actual facility IDs</t>
  </si>
  <si>
    <t>Custom Emission Factors</t>
  </si>
  <si>
    <t>The tool uses default emission factors, which vary by country. These are free to use and publicly available, and the tool includes links of where to obtain them. Currently, separate sets of emission factors are available for the UK and US. Location-based Scope 2 emission factors are also available for the US, Canada and Australia, while market-based residual mix emission factors are available for the US, Canada and all European counties. For all other emission factors, links are provided from where they can be purchased from and then put in the table below.</t>
  </si>
  <si>
    <t>Name of Custom EF</t>
  </si>
  <si>
    <t>Scope</t>
  </si>
  <si>
    <t>Activity Type</t>
  </si>
  <si>
    <t>Source of Emission Factor</t>
  </si>
  <si>
    <t>Emission Factors</t>
  </si>
  <si>
    <t>Notes</t>
  </si>
  <si>
    <r>
      <t>Fossil CO</t>
    </r>
    <r>
      <rPr>
        <b/>
        <vertAlign val="subscript"/>
        <sz val="11"/>
        <color theme="0"/>
        <rFont val="Calibri"/>
        <family val="2"/>
        <scheme val="minor"/>
      </rPr>
      <t>2</t>
    </r>
  </si>
  <si>
    <r>
      <t>CH</t>
    </r>
    <r>
      <rPr>
        <b/>
        <vertAlign val="subscript"/>
        <sz val="11"/>
        <color theme="0"/>
        <rFont val="Calibri"/>
        <family val="2"/>
        <scheme val="minor"/>
      </rPr>
      <t>4</t>
    </r>
  </si>
  <si>
    <r>
      <t>N</t>
    </r>
    <r>
      <rPr>
        <b/>
        <vertAlign val="subscript"/>
        <sz val="11"/>
        <color theme="0"/>
        <rFont val="Calibri"/>
        <family val="2"/>
        <scheme val="minor"/>
      </rPr>
      <t>2</t>
    </r>
    <r>
      <rPr>
        <b/>
        <sz val="11"/>
        <color theme="0"/>
        <rFont val="Calibri"/>
        <family val="2"/>
        <scheme val="minor"/>
      </rPr>
      <t>O</t>
    </r>
  </si>
  <si>
    <r>
      <t>Biofuel CO</t>
    </r>
    <r>
      <rPr>
        <b/>
        <vertAlign val="subscript"/>
        <sz val="11"/>
        <color theme="0"/>
        <rFont val="Calibri"/>
        <family val="2"/>
        <scheme val="minor"/>
      </rPr>
      <t>2</t>
    </r>
  </si>
  <si>
    <r>
      <t>CO</t>
    </r>
    <r>
      <rPr>
        <b/>
        <vertAlign val="subscript"/>
        <sz val="11"/>
        <color theme="0"/>
        <rFont val="Calibri"/>
        <family val="2"/>
        <scheme val="minor"/>
      </rPr>
      <t>2</t>
    </r>
    <r>
      <rPr>
        <b/>
        <sz val="11"/>
        <color theme="0"/>
        <rFont val="Calibri"/>
        <family val="2"/>
        <scheme val="minor"/>
      </rPr>
      <t>e</t>
    </r>
  </si>
  <si>
    <t>Unit of Emission Factors (numerator unit)</t>
  </si>
  <si>
    <t>Unit of Emission Factors (denominator unit)</t>
  </si>
  <si>
    <t>Stationary Combustion</t>
  </si>
  <si>
    <t>Mobile Combustion</t>
  </si>
  <si>
    <t>Refrigerants</t>
  </si>
  <si>
    <t>Heat</t>
  </si>
  <si>
    <t>Purchased Electricity - Market Based</t>
  </si>
  <si>
    <t>Purchased Electricity - Location Based</t>
  </si>
  <si>
    <t>Transportation</t>
  </si>
  <si>
    <t>Scope 1</t>
  </si>
  <si>
    <t>kg</t>
  </si>
  <si>
    <t>mmBtu</t>
  </si>
  <si>
    <t>Scope 3</t>
  </si>
  <si>
    <t>mile</t>
  </si>
  <si>
    <t>Scope 2</t>
  </si>
  <si>
    <t>kWh</t>
  </si>
  <si>
    <t>gal (US)</t>
  </si>
  <si>
    <t>Fuel Type</t>
  </si>
  <si>
    <t>Heat Content (HHV)</t>
  </si>
  <si>
    <t>CO2 Factor
(kg CO2 per mmBtu)</t>
  </si>
  <si>
    <t>CH4 Factor
(g CH4 per mmBtu)</t>
  </si>
  <si>
    <t>N2O Factor
(g N2O per mmBtu)</t>
  </si>
  <si>
    <t>Biogenic CO2 Factor
(kg Biogenic CO2 per mmBtu)</t>
  </si>
  <si>
    <t>AR4
(kgCO2e)</t>
  </si>
  <si>
    <t>AR5
(kgCO2e)</t>
  </si>
  <si>
    <t>Units</t>
  </si>
  <si>
    <t>Source</t>
  </si>
  <si>
    <t>Coal and Coke</t>
  </si>
  <si>
    <t>mmBtu per short ton</t>
  </si>
  <si>
    <t>Anthracite Coal</t>
  </si>
  <si>
    <t>EPA, "Emission Factors for Greenhouse Gas Inventories," Table 1 Stationary Combustion Emission Factors, March 9, 2018 (https://www.epa.gov/climateleadership/center-corporate-climate-leadership-ghg-emission-factors-hub).</t>
  </si>
  <si>
    <t>Bituminous Coal</t>
  </si>
  <si>
    <t>Sub-bituminous Coal</t>
  </si>
  <si>
    <t>Lignite Coal</t>
  </si>
  <si>
    <t>Mixed (Commercial Sector)</t>
  </si>
  <si>
    <t>Mixed (Electric Power Sector)</t>
  </si>
  <si>
    <t>Mixed (Industrial Coking)</t>
  </si>
  <si>
    <t>Mixed (Industrial Sector)</t>
  </si>
  <si>
    <t>Coal Coke</t>
  </si>
  <si>
    <t>Other Fuels - Solid</t>
  </si>
  <si>
    <t>Municipal Solid Waste</t>
  </si>
  <si>
    <t>Petroleum Coke (Solid)</t>
  </si>
  <si>
    <t>Plastics</t>
  </si>
  <si>
    <t>Tires</t>
  </si>
  <si>
    <t>Biomass Fuels - Solid</t>
  </si>
  <si>
    <t>Agricultural Byproducts</t>
  </si>
  <si>
    <t>Peat</t>
  </si>
  <si>
    <t>Solid Byproducts</t>
  </si>
  <si>
    <t>Wood and Wood Residuals</t>
  </si>
  <si>
    <t>Natural Gas -</t>
  </si>
  <si>
    <t>mmBtu per scf</t>
  </si>
  <si>
    <t>Natural Gas</t>
  </si>
  <si>
    <t>Other Fuels - Gaseous</t>
  </si>
  <si>
    <t>Blast Furnace Gas</t>
  </si>
  <si>
    <t>Coke Oven Gas</t>
  </si>
  <si>
    <t>Fuel Gas</t>
  </si>
  <si>
    <t>Propane Gas</t>
  </si>
  <si>
    <t>Biomass Fuels - Gaseous</t>
  </si>
  <si>
    <t>Landfill Gas</t>
  </si>
  <si>
    <t>Other Biomass Gases</t>
  </si>
  <si>
    <t>Petroleum Products</t>
  </si>
  <si>
    <t>mmBtu per gallon</t>
  </si>
  <si>
    <t>Asphalt and Road Oil</t>
  </si>
  <si>
    <t>Aviation Gasoline</t>
  </si>
  <si>
    <t>Butane</t>
  </si>
  <si>
    <t>Butylene</t>
  </si>
  <si>
    <t>Crude Oil</t>
  </si>
  <si>
    <t>Distillate Fuel Oil No. 1</t>
  </si>
  <si>
    <t>Distillate Fuel Oil No. 2</t>
  </si>
  <si>
    <t>Distillate Fuel Oil No. 4</t>
  </si>
  <si>
    <t>Ethane</t>
  </si>
  <si>
    <t>Ethylene</t>
  </si>
  <si>
    <t>Heavy Gas Oils</t>
  </si>
  <si>
    <t>Isobutane</t>
  </si>
  <si>
    <t>Isobutylene</t>
  </si>
  <si>
    <t>Kerosene</t>
  </si>
  <si>
    <t>Kerosene-Type Jet Fuel</t>
  </si>
  <si>
    <t>Liquefied Petroleum Gases (LPG)</t>
  </si>
  <si>
    <t>Lubricants</t>
  </si>
  <si>
    <t>Motor Gasoline</t>
  </si>
  <si>
    <t>Naphtha (&lt;401 deg F)</t>
  </si>
  <si>
    <t>Natural Gasoline</t>
  </si>
  <si>
    <t>Other Oil (&gt;401 deg F)</t>
  </si>
  <si>
    <t>Pentanes Plus</t>
  </si>
  <si>
    <t>Petrochemical Feedstocks</t>
  </si>
  <si>
    <t>Petroleum Coke</t>
  </si>
  <si>
    <t>Propane</t>
  </si>
  <si>
    <t>Propylene</t>
  </si>
  <si>
    <t>Residual Fuel Oil No. 5</t>
  </si>
  <si>
    <t>Residual Fuel Oil No. 6</t>
  </si>
  <si>
    <t>Special Naphtha</t>
  </si>
  <si>
    <t>Unfinished Oils</t>
  </si>
  <si>
    <t>Used Oil</t>
  </si>
  <si>
    <t>Biomass Fuels - Liquid</t>
  </si>
  <si>
    <t>Biodiesel (100%)</t>
  </si>
  <si>
    <t>Ethanol (100%)</t>
  </si>
  <si>
    <t>Rendered Animal Fat</t>
  </si>
  <si>
    <t>Vegetable Oil</t>
  </si>
  <si>
    <t>Biomass Fuels - 
Kraft Pulping Liquor, by Wood Furnish</t>
  </si>
  <si>
    <t>North American Softwood</t>
  </si>
  <si>
    <t>North American Hardwood</t>
  </si>
  <si>
    <t>Bagasse</t>
  </si>
  <si>
    <t>Bamboo</t>
  </si>
  <si>
    <t>Straw</t>
  </si>
  <si>
    <t>Source:</t>
  </si>
  <si>
    <t>Note: Emission factors are per unit of heat content using higher heating values (HHV). If heat content is available from the fuel supplier, it is preferable to use that value. If not, default heat contents are provided.</t>
  </si>
  <si>
    <t xml:space="preserve">   Mobile Combustion CO2</t>
  </si>
  <si>
    <t>kg CO2 per unit</t>
  </si>
  <si>
    <t>Unit</t>
  </si>
  <si>
    <t>gallon</t>
  </si>
  <si>
    <t>Compressed Natural Gas (CNG)</t>
  </si>
  <si>
    <t>scf</t>
  </si>
  <si>
    <t>Diesel Fuel</t>
  </si>
  <si>
    <t>Liquefied Natural Gas (LNG)</t>
  </si>
  <si>
    <t>Residual Fuel Oil</t>
  </si>
  <si>
    <t xml:space="preserve">Federal Register EPA; 40 CFR Part 98; e-CFR, June 13, 2017 (see link below). Table C-1, Table C-2, Table AA-1.  </t>
  </si>
  <si>
    <t>https://www.ecfr.gov/cgi-bin/text-idx?SID=ae265d7d6f98ec86fcd8640b9793a3f6&amp;mc=true&amp;node=pt40.23.98&amp;rgn=div5#ap40.23.98_19.1</t>
  </si>
  <si>
    <t xml:space="preserve">LNG:  The factor was developed based on the CO2 factor for Natural Gas factor and LNG fuel density from GREET1_2017.xlsx Model, Argonne National Laboratory.  This represents a methodology change from previous versions. </t>
  </si>
  <si>
    <t xml:space="preserve">   Mobile Combustion CH4 and N2O for On-Road Gasoline Vehicles</t>
  </si>
  <si>
    <t>Vehicle Type</t>
  </si>
  <si>
    <t>Year</t>
  </si>
  <si>
    <t>CH4 Factor 
(g / mile)</t>
  </si>
  <si>
    <t>N2O Factor 
(g / mile)</t>
  </si>
  <si>
    <t>Gasoline Passenger Cars</t>
  </si>
  <si>
    <t>1973-74</t>
  </si>
  <si>
    <t>1976-77</t>
  </si>
  <si>
    <t>1978-79</t>
  </si>
  <si>
    <t>1984-93</t>
  </si>
  <si>
    <t>2009-present</t>
  </si>
  <si>
    <t>Gasoline Light-Duty Trucks</t>
  </si>
  <si>
    <t>(Vans, Pickup Trucks, SUVs)</t>
  </si>
  <si>
    <t>1977-78</t>
  </si>
  <si>
    <t>1979-80</t>
  </si>
  <si>
    <t>1987-93</t>
  </si>
  <si>
    <t>2008-present</t>
  </si>
  <si>
    <t>Gasoline Heavy-Duty Vehicles</t>
  </si>
  <si>
    <t>&lt;1981</t>
  </si>
  <si>
    <t>1982-84</t>
  </si>
  <si>
    <t>1985-86</t>
  </si>
  <si>
    <t>1988-1989</t>
  </si>
  <si>
    <t>1990-1995</t>
  </si>
  <si>
    <t>Gasoline Motorcycles</t>
  </si>
  <si>
    <t>1960-1995</t>
  </si>
  <si>
    <t>1996-present</t>
  </si>
  <si>
    <t>Source:  EPA (2017) Inventory of U.S. Greenhouse Gas Emissions and Sinks: 1990-2015. All values are calculated from Tables A-104 through A-110.</t>
  </si>
  <si>
    <t xml:space="preserve">    Mobile Combustion CH4 and N2O for On-Road Diesel and Alternative Fuel Vehicles</t>
  </si>
  <si>
    <t>Vehicle Year</t>
  </si>
  <si>
    <t>Diesel Passenger Cars</t>
  </si>
  <si>
    <t>1960-1982</t>
  </si>
  <si>
    <t>1983-1995</t>
  </si>
  <si>
    <t>Diesel Light-Duty Trucks</t>
  </si>
  <si>
    <t>Default Average Fuel Efficiency (mpg/mpge)</t>
  </si>
  <si>
    <t>Default Average Fuel Efficiency (kWh/100mi)</t>
  </si>
  <si>
    <t>Model Year associated with Fuel Efficiency</t>
  </si>
  <si>
    <t>Vehicle type</t>
  </si>
  <si>
    <t>Source: WRI, GHG Protocol - Emission Factors from Cross-Sector Tools (April 2014)</t>
  </si>
  <si>
    <t>Source: FuelEconomy.gov Vehicle table, 1984-current model year vehicles (https://www.fueleconomy.gov/feg/ws/index.shtml#vehicle); https://www.fueleconomy.gov/feg/PowerSearch.do?action=Cars&amp;year1=2008&amp;year2=2016&amp;minmsrpsel=0&amp;maxmsrpsel=0&amp;city=0&amp;highway=0&amp;combined=0&amp;cbvtelectric=Electric&amp;YearSel=2008-2016&amp;MakeSel=&amp;MarClassSel=&amp;FuelTypeSel=&amp;VehTypeSel=Electric&amp;TranySel=&amp;DriveTypeSel=&amp;CylindersSel=&amp;MpgSel=000&amp;sortBy=Comb&amp;Units=&amp;url=SearchServlet&amp;opt=new&amp;minmsrp=0&amp;maxmsrp=0&amp;minmpg=&amp;maxmpg=&amp;rowLimit=200&amp;pageno=1&amp;tabView=0</t>
  </si>
  <si>
    <t xml:space="preserve">Corresponding fuel </t>
  </si>
  <si>
    <t>Original source description - Vehicle type</t>
  </si>
  <si>
    <t>Unit in source dataset - Vehicle type</t>
  </si>
  <si>
    <t>kg CO2</t>
  </si>
  <si>
    <t>kg CH4</t>
  </si>
  <si>
    <t>kg N2O</t>
  </si>
  <si>
    <t>Diesel Medium- and Heavy-Duty Vehicles</t>
  </si>
  <si>
    <t>1960-present</t>
  </si>
  <si>
    <t>1984-Present</t>
  </si>
  <si>
    <t>Motor Gasoline - Mobile</t>
  </si>
  <si>
    <t>Gasoline Passenger Cars, 2009-present</t>
  </si>
  <si>
    <t>CNG Light-Duty Vehicles</t>
  </si>
  <si>
    <t>Gasoline Light-duty Trucks (Vans, Pickup Trucks, SUVs)</t>
  </si>
  <si>
    <t>1987-Present</t>
  </si>
  <si>
    <t>Gasoline Light-duty Trucks (Vans, Pickup Trucks, SUVs), 2008-present</t>
  </si>
  <si>
    <t>CNG Medium- and Heavy-Duty Vehicles</t>
  </si>
  <si>
    <t>Gasoline Heavy-duty Vehicles</t>
  </si>
  <si>
    <t>1985-Present (Rigid)</t>
  </si>
  <si>
    <t>Gasoline Heavy-duty Vehicles, 2008-present</t>
  </si>
  <si>
    <t>CNG Buses</t>
  </si>
  <si>
    <t>1960-Present</t>
  </si>
  <si>
    <t>Diesel Fuel - Mobile</t>
  </si>
  <si>
    <t>Diesel Passenger Cars, 1996-present</t>
  </si>
  <si>
    <t>LPG Light-Duty Vehicles</t>
  </si>
  <si>
    <t>Diesel Light-duty Trucks</t>
  </si>
  <si>
    <t>Diesel Light-Duty Trucks, 1996-present</t>
  </si>
  <si>
    <t>LPG Medium- and Heavy-Duty Vehicles</t>
  </si>
  <si>
    <t>Diesel Medium- and Heavy-duty Vehicles</t>
  </si>
  <si>
    <t>1960-Present (Rigid)</t>
  </si>
  <si>
    <t>Diesel Medium- and Heavy-Duty Vehicles, 1960-present</t>
  </si>
  <si>
    <t>LNG Medium- and Heavy-Duty Vehicles</t>
  </si>
  <si>
    <t>Biodiesel Passenger Cars</t>
  </si>
  <si>
    <t>Biodiesel (100%) - Mobile</t>
  </si>
  <si>
    <t>Biodiesel Light-Duty Vehicles</t>
  </si>
  <si>
    <t>Ethanol Light-Duty Vehicles</t>
  </si>
  <si>
    <t>Biodiesel Light-duty Vehicles</t>
  </si>
  <si>
    <t>Ethanol Medium- and Heavy-Duty Vehicles</t>
  </si>
  <si>
    <t>Biodiesel Medium- and Heavy-duty Vehicles</t>
  </si>
  <si>
    <t>Ethanol Buses</t>
  </si>
  <si>
    <t>CNG Light-duty Vehicles</t>
  </si>
  <si>
    <t>Compressed Natural Gas - Mobile</t>
  </si>
  <si>
    <t>CNG Medium- and Heavy-duty Vehicles</t>
  </si>
  <si>
    <t>Rigid</t>
  </si>
  <si>
    <t>Biodiesel Medium- and Heavy-Duty Vehicles</t>
  </si>
  <si>
    <t>Ethanol Light-duty Vehicles</t>
  </si>
  <si>
    <t>Ethanol (100%) - Mobile</t>
  </si>
  <si>
    <t>Biodiesel Buses</t>
  </si>
  <si>
    <t>Ethanol Medium- and Heavy-duty Vehicles</t>
  </si>
  <si>
    <t>Hybrid (Gasoline) Passenger Cars</t>
  </si>
  <si>
    <t>2000-2016</t>
  </si>
  <si>
    <t>Gasoline Agricultural Equipment</t>
  </si>
  <si>
    <t>Gasoline Agricultural Equip.</t>
  </si>
  <si>
    <t xml:space="preserve">    Mobile Combustion CH4 and N2O for Non-Road Vehicles</t>
  </si>
  <si>
    <t>Diesel Agricultural Equipment</t>
  </si>
  <si>
    <t>Diesel Agricultural Equip.</t>
  </si>
  <si>
    <t>Gasoline Ships and Boats</t>
  </si>
  <si>
    <t xml:space="preserve">CH4 Factor 
(g / gallon) </t>
  </si>
  <si>
    <t xml:space="preserve">N2O Factor 
(g / gallon) </t>
  </si>
  <si>
    <t>Diesel Ships and Boats</t>
  </si>
  <si>
    <t>Residual Fuel Oil Ships and Boats</t>
  </si>
  <si>
    <t>Jet Fuel Aircraft</t>
  </si>
  <si>
    <t>Jet Fuel - Mobile</t>
  </si>
  <si>
    <t>Aviation Gasoline Aircraft</t>
  </si>
  <si>
    <t>Aviation Gasoline - Mobile</t>
  </si>
  <si>
    <t>Gasoline Motorcycles, 1996-present</t>
  </si>
  <si>
    <t>Diesel Locomotives</t>
  </si>
  <si>
    <t>Other Gasoline Non-Road Vehicles</t>
  </si>
  <si>
    <t>Other Diesel Non-Road Vehicles</t>
  </si>
  <si>
    <t>Articulated</t>
  </si>
  <si>
    <t>Gasoline Construction Equip.</t>
  </si>
  <si>
    <t>Diesel Construction Equip.</t>
  </si>
  <si>
    <t>LPG Non-Road Vehicles</t>
  </si>
  <si>
    <t>Biodiesel Non-Road Vehicles</t>
  </si>
  <si>
    <t>Source:  EPA (2017) Inventory of U.S. Greenhouse Gas Emissions and Sinks: 1990-2015. All values are calculated from Table A-110.</t>
  </si>
  <si>
    <t>Note: LPG non-road vehicles assumed equal to other gasoline sources.  Biodiesel vehicles assumed equal to other diesel sources.</t>
  </si>
  <si>
    <t>Mobile Fuel</t>
  </si>
  <si>
    <t>Column1</t>
  </si>
  <si>
    <t>CO2 Factor
(kg / unit)</t>
  </si>
  <si>
    <t>CH4 Factor
(kg / unit)</t>
  </si>
  <si>
    <t>N2O Factor
(kg / unit)</t>
  </si>
  <si>
    <t>Biogenic CO2
(kg Biogenic CO2 per mmBtu)</t>
  </si>
  <si>
    <t>Standardized unit</t>
  </si>
  <si>
    <t>MPG Units</t>
  </si>
  <si>
    <t>kg CO4</t>
  </si>
  <si>
    <t>kg NO2</t>
  </si>
  <si>
    <t>Electricity - Mobile - Electric Vehicle</t>
  </si>
  <si>
    <t>EPA, "Emission Factors for Greenhouse Gas Inventories", March 9, 2018 (https://www.epa.gov/climateleadership/center-corporate-climate-leadership-ghg-emission-factors-hub); WRI, GHG Protocol - Emission Factors from Cross-Sector Tools, April 2014</t>
  </si>
  <si>
    <t>Motor Gasoline - Gasoline Passenger Cars</t>
  </si>
  <si>
    <t>Motor Gasoline - Gasoline Light-duty Trucks (Vans, Pickup Trucks, SUVs)</t>
  </si>
  <si>
    <t>Motor Gasoline - Gasoline Heavy-duty Vehicles</t>
  </si>
  <si>
    <t>Diesel Fuel - Diesel Passenger Cars</t>
  </si>
  <si>
    <t>Diesel Fuel - Diesel Light-duty Trucks</t>
  </si>
  <si>
    <t>Diesel Fuel - Diesel Medium- and Heavy-duty Vehicles</t>
  </si>
  <si>
    <t>Biodiesel (100%) - Biodiesel Passenger Cars</t>
  </si>
  <si>
    <t>Biodiesel (100%) - Biodiesel Light-duty Vehicles</t>
  </si>
  <si>
    <t>Biodiesel (100%) - Biodiesel Medium- and Heavy-duty Vehicles</t>
  </si>
  <si>
    <t>Compressed Natural Gas - CNG Light-duty Vehicles</t>
  </si>
  <si>
    <t>Compressed Natural Gas - CNG Medium- and Heavy-duty Vehicles</t>
  </si>
  <si>
    <t>Ethanol (100%) - Ethanol Light-duty Vehicles</t>
  </si>
  <si>
    <t>Ethanol (100%) - Ethanol Medium- and Heavy-duty Vehicles</t>
  </si>
  <si>
    <t>Motor Gasoline - Hybrid (Gasoline) Passenger Cars</t>
  </si>
  <si>
    <t>Motor Gasoline - Gasoline Agricultural Equipment</t>
  </si>
  <si>
    <t>Diesel Fuel - Diesel Agricultural Equipment</t>
  </si>
  <si>
    <t>Motor Gasoline - Gasoline Ships and Boats</t>
  </si>
  <si>
    <t>Diesel Fuel - Diesel Ships and Boats</t>
  </si>
  <si>
    <t>Jet Fuel - Jet Fuel Aircraft</t>
  </si>
  <si>
    <t>Aviation Gasoline - Aviation Gasoline Aircraft</t>
  </si>
  <si>
    <t>Motor Gasoline - Gasoline Motorcycles</t>
  </si>
  <si>
    <t>Motor Gasoline - Other Gasoline Non-Road Vehicles</t>
  </si>
  <si>
    <t>Diesel Fuel - Other Diesel Non-Road Vehicles</t>
  </si>
  <si>
    <t>With RF</t>
  </si>
  <si>
    <t>Activity</t>
  </si>
  <si>
    <t>Haul</t>
  </si>
  <si>
    <t>Class</t>
  </si>
  <si>
    <t>kg CO2e</t>
  </si>
  <si>
    <t>Flights</t>
  </si>
  <si>
    <t>Domestic, to/from UK</t>
  </si>
  <si>
    <t>Average passenger</t>
  </si>
  <si>
    <t>passenger.km</t>
  </si>
  <si>
    <t>Short-haul, to/from UK</t>
  </si>
  <si>
    <t>Economy class</t>
  </si>
  <si>
    <t>Business class</t>
  </si>
  <si>
    <t>Long-haul, to/from UK</t>
  </si>
  <si>
    <t>Premium economy class</t>
  </si>
  <si>
    <t>First class</t>
  </si>
  <si>
    <t>International, to/from non-UK</t>
  </si>
  <si>
    <t>Type</t>
  </si>
  <si>
    <t>Ferry</t>
  </si>
  <si>
    <t>Foot passenger</t>
  </si>
  <si>
    <t>Car passenger</t>
  </si>
  <si>
    <t>Average (all passenger)</t>
  </si>
  <si>
    <t>Diesel</t>
  </si>
  <si>
    <t>Petrol</t>
  </si>
  <si>
    <t>Hybrid</t>
  </si>
  <si>
    <t>CNG</t>
  </si>
  <si>
    <t>LPG</t>
  </si>
  <si>
    <t>Unknown</t>
  </si>
  <si>
    <t>Plug-in Hybrid Electric Vehicle</t>
  </si>
  <si>
    <t>Battery Electric Vehicle</t>
  </si>
  <si>
    <t>Cars (by size)</t>
  </si>
  <si>
    <t>Small car</t>
  </si>
  <si>
    <t>km</t>
  </si>
  <si>
    <t>miles</t>
  </si>
  <si>
    <t>Medium car</t>
  </si>
  <si>
    <t>Large car</t>
  </si>
  <si>
    <t>Average car</t>
  </si>
  <si>
    <t>Motorbike</t>
  </si>
  <si>
    <t>Small</t>
  </si>
  <si>
    <t>Medium</t>
  </si>
  <si>
    <t>Large</t>
  </si>
  <si>
    <t>Average</t>
  </si>
  <si>
    <t>Taxis</t>
  </si>
  <si>
    <t>Regular taxi</t>
  </si>
  <si>
    <t>Black cab</t>
  </si>
  <si>
    <t>Bus</t>
  </si>
  <si>
    <t>Local bus (not London)</t>
  </si>
  <si>
    <t>Local London bus</t>
  </si>
  <si>
    <t>Average local bus</t>
  </si>
  <si>
    <t>Coach</t>
  </si>
  <si>
    <t>Rail</t>
  </si>
  <si>
    <t>National rail</t>
  </si>
  <si>
    <t>International rail</t>
  </si>
  <si>
    <t>Light rail and tram</t>
  </si>
  <si>
    <t>London Underground</t>
  </si>
  <si>
    <t>Vans - Average (up to 3.5 tonnes) - Diesel</t>
  </si>
  <si>
    <t>Vans - Average (up to 3.5 tonnes) - Petrol</t>
  </si>
  <si>
    <t>Vans - Average (up to 3.5 tonnes) - CNG</t>
  </si>
  <si>
    <t>Vans - Average (up to 3.5 tonnes) - LPG</t>
  </si>
  <si>
    <t>Vans - Average (up to 3.5 tonnes) - Unknown</t>
  </si>
  <si>
    <t>Vans - Average (up to 3.5 tonnes) - Battery Electric Vehicle</t>
  </si>
  <si>
    <r>
      <t>kg CO</t>
    </r>
    <r>
      <rPr>
        <vertAlign val="subscript"/>
        <sz val="11"/>
        <color indexed="56"/>
        <rFont val="Calibri"/>
        <family val="2"/>
      </rPr>
      <t>2</t>
    </r>
    <r>
      <rPr>
        <sz val="11"/>
        <color indexed="56"/>
        <rFont val="Calibri"/>
        <family val="2"/>
      </rPr>
      <t>e</t>
    </r>
  </si>
  <si>
    <r>
      <t>kg CO</t>
    </r>
    <r>
      <rPr>
        <vertAlign val="subscript"/>
        <sz val="11"/>
        <color indexed="56"/>
        <rFont val="Calibri"/>
        <family val="2"/>
      </rPr>
      <t>2</t>
    </r>
  </si>
  <si>
    <r>
      <t>kg CH</t>
    </r>
    <r>
      <rPr>
        <vertAlign val="subscript"/>
        <sz val="11"/>
        <color indexed="56"/>
        <rFont val="Calibri"/>
        <family val="2"/>
      </rPr>
      <t>4</t>
    </r>
  </si>
  <si>
    <r>
      <t>kg N</t>
    </r>
    <r>
      <rPr>
        <vertAlign val="subscript"/>
        <sz val="11"/>
        <color indexed="56"/>
        <rFont val="Calibri"/>
        <family val="2"/>
      </rPr>
      <t>2</t>
    </r>
    <r>
      <rPr>
        <sz val="11"/>
        <color indexed="56"/>
        <rFont val="Calibri"/>
        <family val="2"/>
      </rPr>
      <t>O</t>
    </r>
  </si>
  <si>
    <t>Vans</t>
  </si>
  <si>
    <t>Average (up to 3.5 tonnes)</t>
  </si>
  <si>
    <t>tonne.km</t>
  </si>
  <si>
    <t>Average laden</t>
  </si>
  <si>
    <t>HGV (all diesel)</t>
  </si>
  <si>
    <t>All HGVs</t>
  </si>
  <si>
    <t>HGV refrigerated (all diesel)</t>
  </si>
  <si>
    <t>Without RF</t>
  </si>
  <si>
    <t>Freight flights</t>
  </si>
  <si>
    <t>Freight train</t>
  </si>
  <si>
    <t>Size</t>
  </si>
  <si>
    <t>Sea Tanker</t>
  </si>
  <si>
    <t>Crude Tanker</t>
  </si>
  <si>
    <t>Products Tanker</t>
  </si>
  <si>
    <t>Chemical Tanker</t>
  </si>
  <si>
    <t>LNG Tanker</t>
  </si>
  <si>
    <t>LPG Tanker</t>
  </si>
  <si>
    <t>Cargo Ship</t>
  </si>
  <si>
    <t>Bulk Carrier</t>
  </si>
  <si>
    <t>General Cargo</t>
  </si>
  <si>
    <t>Container Ship</t>
  </si>
  <si>
    <t>Vehicle Transport</t>
  </si>
  <si>
    <t>RoRo-Ferry</t>
  </si>
  <si>
    <t>Large RoPax Ferry</t>
  </si>
  <si>
    <t>Refrigerated Cargo</t>
  </si>
  <si>
    <t xml:space="preserve"> All dwt</t>
  </si>
  <si>
    <t xml:space="preserve">Business Travel and Employee Commuting </t>
  </si>
  <si>
    <t>CO2 Factor 
(kg / unit)</t>
  </si>
  <si>
    <t>CH4 Factor 
(g / unit)</t>
  </si>
  <si>
    <t>N2O Factor 
(g / unit)</t>
  </si>
  <si>
    <t>Passenger Car A</t>
  </si>
  <si>
    <t>vehicle-mile</t>
  </si>
  <si>
    <t>Light-Duty Truck B</t>
  </si>
  <si>
    <t>Motorcycle</t>
  </si>
  <si>
    <t>Intercity Rail (i.e. Amtrak) C</t>
  </si>
  <si>
    <t>passenger-mile</t>
  </si>
  <si>
    <t>Commuter Rail D</t>
  </si>
  <si>
    <t>Transit Rail (i.e. Subway, Tram) E</t>
  </si>
  <si>
    <t xml:space="preserve">Air Travel - Short Haul (&lt; 300 miles) </t>
  </si>
  <si>
    <t xml:space="preserve">Air Travel - Medium Haul (&gt;= 300 miles, 
&lt; 2300 miles) </t>
  </si>
  <si>
    <t xml:space="preserve">Air Travel - Long Haul (&gt;= 2300 miles) </t>
  </si>
  <si>
    <t xml:space="preserve">Source: 
CO2, CH4, and N2O emissions data for highway vehicles are from Table 2-13 of the Inventory of U.S. Greenhouse Gas Emissions and Sinks: 1990–2015.  Vehicle-miles and passenger-miles data for highway vehicles are from Table VM-1 of the Federal Highway Administration Highway Statistics 2015.
Fuel consumption data and passenger-miles data for rail are from Tables A.14 to A.16 and 9.10 to 9.12 of the Transportation Energy Data Book: Edition 35. Fuel consumption was converted to emissions by using fuel and electricity emission factors presented in the tables above. 
Air Travel factors from 2017 Guidelines to Defra / DECC's GHG Conversion Factors for Company Reporting.  Version 1.0 August 2017. </t>
  </si>
  <si>
    <t>Notes: 
A    Passenger car: includes passenger cars, minivans, SUVs, and small pickup trucks (vehicles with wheelbase less than 121 inches).  
B Light-duty truck: includes full-size pickup trucks, full-size vans, and extended-length SUVs (vehicles with wheelbase greater than 121 inches). 
C Intercity rail: long-distance rail between major cities, such as Amtrak
D Commuter rail: rail service between a central city and adjacent suburbs (also called regional rail or suburban rail)
E Transit rail: rail typically within an urban center, such as subways, elevated railways, metropolitan railways (metro), streetcars, trolley cars, and tramways.</t>
  </si>
  <si>
    <t xml:space="preserve">   Upstream Transportation and Distribution and Downstream Transportation and Distribution</t>
  </si>
  <si>
    <t>Medium- and Heavy-Duty Truck</t>
  </si>
  <si>
    <t>Medium- and Heavy-Duty TruckC</t>
  </si>
  <si>
    <t>ton-mile</t>
  </si>
  <si>
    <t>Waterborne Craft</t>
  </si>
  <si>
    <t>Aircraft</t>
  </si>
  <si>
    <t>Lookup name</t>
  </si>
  <si>
    <t>CH4 Factor
(g / unit)</t>
  </si>
  <si>
    <t>N2O Factor
(g / unit)</t>
  </si>
  <si>
    <t>Biofuel?</t>
  </si>
  <si>
    <t>EPA, "Emission Factors for Greenhouse Gas Inventories," Table 8 Business Travel and Employee Commuting, March 9, 2018 (https://www.epa.gov/climateleadership/center-corporate-climate-leadership-ghg-emission-factors-hub).</t>
  </si>
  <si>
    <t>Average Car - Diesel</t>
  </si>
  <si>
    <t>UK DEFRA, Passenger vehicles, 2019 (https://assets.publishing.service.gov.uk/government/uploads/system/uploads/attachment_data/file/891105/Conversion_Factors_2020_-_Condensed_set__for_most_users_.xlsx)</t>
  </si>
  <si>
    <t>Average Car - Petrol</t>
  </si>
  <si>
    <t>Average Car - Hybrid</t>
  </si>
  <si>
    <t>Average Car - CNG</t>
  </si>
  <si>
    <t>Average Car - LPG</t>
  </si>
  <si>
    <t>Average Car - Plug-in Hybrid Electric Vehicle</t>
  </si>
  <si>
    <t>Average Car - Battery Electric Vehicle</t>
  </si>
  <si>
    <t>Average Car - Unknown</t>
  </si>
  <si>
    <t>Taxi - regular</t>
  </si>
  <si>
    <t>passenger-km</t>
  </si>
  <si>
    <t>Local Bus</t>
  </si>
  <si>
    <t>UK DEFRA, Business Travel - land, 2019 (https://assets.publishing.service.gov.uk/government/uploads/system/uploads/attachment_data/file/891105/Conversion_Factors_2020_-_Condensed_set__for_most_users_.xlsx)</t>
  </si>
  <si>
    <t>Air Travel - Domestic, to/from UK - Average passenger</t>
  </si>
  <si>
    <t>UK DEFRA, Business Travel - air, 2019 (https://assets.publishing.service.gov.uk/government/uploads/system/uploads/attachment_data/file/891105/Conversion_Factors_2020_-_Condensed_set__for_most_users_.xlsx)</t>
  </si>
  <si>
    <t>Air Travel - Short-haul, to/from UK - Average passenger</t>
  </si>
  <si>
    <t>Air Travel - Short-haul, to/from UK - Economy class</t>
  </si>
  <si>
    <t>Air Travel - Short-haul, to/from UK - Business class</t>
  </si>
  <si>
    <t>Air Travel - Long-haul, to/from UK - Average passenger</t>
  </si>
  <si>
    <t>Air Travel - Long-haul, to/from UK - Economy class</t>
  </si>
  <si>
    <t>Air Travel - Long-haul, to/from UK - Premium economy class</t>
  </si>
  <si>
    <t>Air Travel - Long-haul, to/from UK - Business class</t>
  </si>
  <si>
    <t>Air Travel - Long-haul, to/from UK - First class</t>
  </si>
  <si>
    <t>Air Travel - International, to/from non-UK - Average passenger</t>
  </si>
  <si>
    <t>Air Travel - International, to/from non-UK - Economy class</t>
  </si>
  <si>
    <t>Air Travel - International, to/from non-UK - Premium economy class</t>
  </si>
  <si>
    <t>Air Travel - International, to/from non-UK - Business class</t>
  </si>
  <si>
    <t>Air Travel - International, to/from non-UK - First class</t>
  </si>
  <si>
    <t>Ferry - Average (all passenger)</t>
  </si>
  <si>
    <t>UK DEFRA, Business Travel - sea, 2019 (https://assets.publishing.service.gov.uk/government/uploads/system/uploads/attachment_data/file/891105/Conversion_Factors_2020_-_Condensed_set__for_most_users_.xlsx)</t>
  </si>
  <si>
    <t>Passenger Car A1</t>
  </si>
  <si>
    <t>Light-Duty Truck B1</t>
  </si>
  <si>
    <t>UK DEFRA, Freighting goods, 2019 (https://assets.publishing.service.gov.uk/government/uploads/system/uploads/attachment_data/file/891105/Conversion_Factors_2020_-_Condensed_set__for_most_users_.xlsx)</t>
  </si>
  <si>
    <t>HGV (all diesel) - tonne.km</t>
  </si>
  <si>
    <t>tonne-km</t>
  </si>
  <si>
    <t>HGV (all diesel) - km</t>
  </si>
  <si>
    <t>HGV (all diesel) - miles</t>
  </si>
  <si>
    <t>HGV refrigerated (all diesel) - tonne.km</t>
  </si>
  <si>
    <t>HGV refrigerated (all diesel) - km</t>
  </si>
  <si>
    <t>HGV refrigerated (all diesel) - miles</t>
  </si>
  <si>
    <t>Freight flights - Domestic, to/from UK</t>
  </si>
  <si>
    <t>Freight flights - Short-haul, to/from UK</t>
  </si>
  <si>
    <t>Freight flights - Long-haul, to/from UK</t>
  </si>
  <si>
    <t>Freight flights - International, to/from non-UK</t>
  </si>
  <si>
    <t>Rail - Freight train</t>
  </si>
  <si>
    <t>Sea Tanker - Crude Tanker - Average</t>
  </si>
  <si>
    <t>Sea Tanker - Products Tanker - Average</t>
  </si>
  <si>
    <t>Sea Tanker - Chemical Tanker - Average</t>
  </si>
  <si>
    <t>Sea Tanker - LNG Tanker - Average</t>
  </si>
  <si>
    <t>Sea Tanker - LPG Tanker - Average</t>
  </si>
  <si>
    <t>Cargo Ship - Bulk Carrier - Average</t>
  </si>
  <si>
    <t>Cargo Ship - General Cargo - Average</t>
  </si>
  <si>
    <t>Cargo Ship - Container Ship - Average</t>
  </si>
  <si>
    <t>Cargo Ship - Vehicle Transport - Average</t>
  </si>
  <si>
    <t>Cargo Ship - RoRo-Ferry - Average</t>
  </si>
  <si>
    <t>Cargo Ship - Large RoPax Ferry - Average</t>
  </si>
  <si>
    <t>Cargo Ship - Refrigerated Cargo -  All dwt</t>
  </si>
  <si>
    <t>Air Travel - Domestic, to/from UK - Average passenger_RF</t>
  </si>
  <si>
    <t>Air Travel - Short-haul, to/from UK - Average passenger_RF</t>
  </si>
  <si>
    <t>Air Travel - Short-haul, to/from UK - Economy class_RF</t>
  </si>
  <si>
    <t>Air Travel - Short-haul, to/from UK - Business class_RF</t>
  </si>
  <si>
    <t>Air Travel - Long-haul, to/from UK - Average passenger_RF</t>
  </si>
  <si>
    <t>Air Travel - Long-haul, to/from UK - Economy class_RF</t>
  </si>
  <si>
    <t>Air Travel - Long-haul, to/from UK - Premium economy class_RF</t>
  </si>
  <si>
    <t>Air Travel - Long-haul, to/from UK - Business class_RF</t>
  </si>
  <si>
    <t>Air Travel - Long-haul, to/from UK - First class_RF</t>
  </si>
  <si>
    <t>Air Travel - International, to/from non-UK - Average passenger_RF</t>
  </si>
  <si>
    <t>Air Travel - International, to/from non-UK - Economy class_RF</t>
  </si>
  <si>
    <t>Air Travel - International, to/from non-UK - Premium economy class_RF</t>
  </si>
  <si>
    <t>Air Travel - International, to/from non-UK - Business class_RF</t>
  </si>
  <si>
    <t>Air Travel - International, to/from non-UK - First class_RF</t>
  </si>
  <si>
    <t>Freight flights - Domestic, to/from UK_RF</t>
  </si>
  <si>
    <t>Freight flights - Short-haul, to/from UK_RF</t>
  </si>
  <si>
    <t>Freight flights - Long-haul, to/from UK_RF</t>
  </si>
  <si>
    <t>Freight flights - International, to/from non-UK_RF</t>
  </si>
  <si>
    <t>Purchased Electricity</t>
  </si>
  <si>
    <t>eGRID subregion acronym</t>
  </si>
  <si>
    <t>eGRID subregion name</t>
  </si>
  <si>
    <t>Total output emission rates</t>
  </si>
  <si>
    <t>lb/MWh</t>
  </si>
  <si>
    <t>AR4</t>
  </si>
  <si>
    <t>AR5</t>
  </si>
  <si>
    <t>CO2</t>
  </si>
  <si>
    <t>CH4</t>
  </si>
  <si>
    <t>N2O</t>
  </si>
  <si>
    <t>CO2e</t>
  </si>
  <si>
    <t>Annual NOx</t>
  </si>
  <si>
    <t>Ozone Season NOx</t>
  </si>
  <si>
    <t>SO2</t>
  </si>
  <si>
    <t>kgCO2/kWh</t>
  </si>
  <si>
    <t>kgCH4/kWh</t>
  </si>
  <si>
    <t>kgN2O/kWh</t>
  </si>
  <si>
    <t>kgCO2e</t>
  </si>
  <si>
    <t>ASCC Alaska Grid</t>
  </si>
  <si>
    <t>https://www.epa.gov/sites/production/files/2020-01/egrid2018_summary_tables.xlsx</t>
  </si>
  <si>
    <t>AKMS</t>
  </si>
  <si>
    <t>ASCC Miscellaneous</t>
  </si>
  <si>
    <t>AZNM</t>
  </si>
  <si>
    <t>WECC Southwest</t>
  </si>
  <si>
    <t>CAMX</t>
  </si>
  <si>
    <t>WECC California</t>
  </si>
  <si>
    <t>ERCT</t>
  </si>
  <si>
    <t>ERCOT All</t>
  </si>
  <si>
    <t>FRCC</t>
  </si>
  <si>
    <t>FRCC All</t>
  </si>
  <si>
    <t>HIMS</t>
  </si>
  <si>
    <t>HICC Miscellaneous</t>
  </si>
  <si>
    <t>HIOA</t>
  </si>
  <si>
    <t>HICC Oahu</t>
  </si>
  <si>
    <t>MROE</t>
  </si>
  <si>
    <t>MRO East</t>
  </si>
  <si>
    <t>MROW</t>
  </si>
  <si>
    <t>MRO West</t>
  </si>
  <si>
    <t>NEWE</t>
  </si>
  <si>
    <t>NPCC New England</t>
  </si>
  <si>
    <t>NWPP</t>
  </si>
  <si>
    <t>WECC Northwest</t>
  </si>
  <si>
    <t>NYCW</t>
  </si>
  <si>
    <t>NPCC NYC/Westchester</t>
  </si>
  <si>
    <t>NYLI</t>
  </si>
  <si>
    <t>NPCC Long Island</t>
  </si>
  <si>
    <t>NYUP</t>
  </si>
  <si>
    <t>NPCC Upstate NY</t>
  </si>
  <si>
    <t>RFCE</t>
  </si>
  <si>
    <t>RFC East</t>
  </si>
  <si>
    <t>RFCM</t>
  </si>
  <si>
    <t>RFC Michigan</t>
  </si>
  <si>
    <t>RFCW</t>
  </si>
  <si>
    <t>RFC West</t>
  </si>
  <si>
    <t>RMPA</t>
  </si>
  <si>
    <t>WECC Rockies</t>
  </si>
  <si>
    <t>SPNO</t>
  </si>
  <si>
    <t>SPP North</t>
  </si>
  <si>
    <t>SPSO</t>
  </si>
  <si>
    <t>SPP South</t>
  </si>
  <si>
    <t>SRMV</t>
  </si>
  <si>
    <t>SERC Mississippi Valley</t>
  </si>
  <si>
    <t>SRMW</t>
  </si>
  <si>
    <t>SERC Midwest</t>
  </si>
  <si>
    <t>SRSO</t>
  </si>
  <si>
    <t>SERC South</t>
  </si>
  <si>
    <t>SRTV</t>
  </si>
  <si>
    <t>SERC Tennessee Valley</t>
  </si>
  <si>
    <t>SRVC</t>
  </si>
  <si>
    <t>SERC Virginia/Carolina</t>
  </si>
  <si>
    <t>U.S.</t>
  </si>
  <si>
    <t>New South Wales and ACT</t>
  </si>
  <si>
    <t>Department of the Environment and Energy, Australian National Greenhouse Accounts, National Greenhouse Accounts Factors, August 2019</t>
  </si>
  <si>
    <t>Victoria</t>
  </si>
  <si>
    <t>Department of the Environment and Energy, Australian National Greenhouse Accounts, National Greenhouse Accounts Factors, August 2020</t>
  </si>
  <si>
    <t>Queensland</t>
  </si>
  <si>
    <t>Department of the Environment and Energy, Australian National Greenhouse Accounts, National Greenhouse Accounts Factors, August 2021</t>
  </si>
  <si>
    <t>South Australia</t>
  </si>
  <si>
    <t>Department of the Environment and Energy, Australian National Greenhouse Accounts, National Greenhouse Accounts Factors, August 2022</t>
  </si>
  <si>
    <t>SWIS in Western Australia</t>
  </si>
  <si>
    <t>Department of the Environment and Energy, Australian National Greenhouse Accounts, National Greenhouse Accounts Factors, August 2023</t>
  </si>
  <si>
    <t>Tasmania</t>
  </si>
  <si>
    <t>Department of the Environment and Energy, Australian National Greenhouse Accounts, National Greenhouse Accounts Factors, August 2024</t>
  </si>
  <si>
    <t>Northern Territory</t>
  </si>
  <si>
    <t>Department of the Environment and Energy, Australian National Greenhouse Accounts, National Greenhouse Accounts Factors, August 2025</t>
  </si>
  <si>
    <t>Impact Type</t>
  </si>
  <si>
    <t>2016 (preliminary data)</t>
  </si>
  <si>
    <t>2017 (preliminary data)</t>
  </si>
  <si>
    <t>CA</t>
  </si>
  <si>
    <t xml:space="preserve">﻿CO2 intensity (g CO2 / kWh) </t>
  </si>
  <si>
    <t xml:space="preserve">CH4 intensity (g CH4 / kWh) </t>
  </si>
  <si>
    <t>Canada NIR 2018 - https://unfccc.int/documents/65715 - (part 3, from various tables for each region)</t>
  </si>
  <si>
    <t>N2O intensity (g N2O / kWh)</t>
  </si>
  <si>
    <t>Generation Intensity (g CO2 eq / kWh)</t>
  </si>
  <si>
    <t>NL</t>
  </si>
  <si>
    <t>Newfoundland and Labrador</t>
  </si>
  <si>
    <t>PE</t>
  </si>
  <si>
    <t>Prince Edward Island</t>
  </si>
  <si>
    <t>NS</t>
  </si>
  <si>
    <t>Nova Scotia</t>
  </si>
  <si>
    <t>NB</t>
  </si>
  <si>
    <t>New Brunswick</t>
  </si>
  <si>
    <t>Q</t>
  </si>
  <si>
    <t>Quebec</t>
  </si>
  <si>
    <t>O</t>
  </si>
  <si>
    <t>M</t>
  </si>
  <si>
    <t>Manitoba</t>
  </si>
  <si>
    <t>S</t>
  </si>
  <si>
    <t>Saskatchewan</t>
  </si>
  <si>
    <t>A</t>
  </si>
  <si>
    <t>Alberta</t>
  </si>
  <si>
    <t>BC</t>
  </si>
  <si>
    <t>British Columbia</t>
  </si>
  <si>
    <t>Y</t>
  </si>
  <si>
    <t>Yukon</t>
  </si>
  <si>
    <t>NTN</t>
  </si>
  <si>
    <t>Northwest Territories and Nunavut</t>
  </si>
  <si>
    <t>North China Grid</t>
  </si>
  <si>
    <t>China Northeast Grid</t>
  </si>
  <si>
    <t>East China Grid</t>
  </si>
  <si>
    <t>Central China Grid</t>
  </si>
  <si>
    <t>China Northwest Grid</t>
  </si>
  <si>
    <t>China Southern Grid</t>
  </si>
  <si>
    <t xml:space="preserve">Hainan Province China Power Grid </t>
  </si>
  <si>
    <t>Grid Region - Location Based</t>
  </si>
  <si>
    <t>Column2</t>
  </si>
  <si>
    <t>CO2 Factor
(kg/kWh)</t>
  </si>
  <si>
    <t>CH4 Factor
(kg/kWh)</t>
  </si>
  <si>
    <t>N2O Factor
(kg/kWh)</t>
  </si>
  <si>
    <t>EPA, "Emission Factors for Greenhouse Gas Inventories," Table 6 Electricity, March 9, 2018. From EPA eGRID2016, February 2018. https://www.epa.gov/sites/production/files/2020-01/egrid2018_summary_tables.xlsx</t>
  </si>
  <si>
    <t>EPA, "Emission Factors for Greenhouse Gas Inventories," Table 6 Electricity, March 9, 2018. From EPA eGRID2016, February 2018. (https://www.epa.gov/sites/production/files/2020-01/egrid2018_summary_tables.xlsx)</t>
  </si>
  <si>
    <t>2019 Green-e® Residual Mix Emissions Rates (2017 Data)</t>
  </si>
  <si>
    <t>eGrid Subregion</t>
  </si>
  <si>
    <t>CO2 Emissions (tons)</t>
  </si>
  <si>
    <t>Net Generation (MWh)</t>
  </si>
  <si>
    <t>Emission Rate (lb / MWh)</t>
  </si>
  <si>
    <t>Voluntary RE emissions (lbs)</t>
  </si>
  <si>
    <t>Voluntary RE (MWh)</t>
  </si>
  <si>
    <t>Adjusted System Mix (lbs / MWh)</t>
  </si>
  <si>
    <t>Difference (lbs / MWh)</t>
  </si>
  <si>
    <t>% Difference</t>
  </si>
  <si>
    <t>Green-e Energy Residual Mix Emissions Rates (2018)</t>
  </si>
  <si>
    <t>US Average</t>
  </si>
  <si>
    <t>https://www.green-e.org/docs/energy/Residual%20Mix%202018.pdf</t>
  </si>
  <si>
    <t>Published year</t>
  </si>
  <si>
    <t>Data year</t>
  </si>
  <si>
    <t>2018 Green-e Residual Mix Emission Rates for</t>
  </si>
  <si>
    <t>Canadian Customers (lbs CO2/MWh)</t>
  </si>
  <si>
    <t xml:space="preserve">NERC Region </t>
  </si>
  <si>
    <t xml:space="preserve">Adjusted Emissions Rate  </t>
  </si>
  <si>
    <t>MRO</t>
  </si>
  <si>
    <t xml:space="preserve">MRO  </t>
  </si>
  <si>
    <t>NPCC</t>
  </si>
  <si>
    <t xml:space="preserve">NPCC </t>
  </si>
  <si>
    <t>WECC</t>
  </si>
  <si>
    <t xml:space="preserve">WECC </t>
  </si>
  <si>
    <t>Matching Canadian provinces with NERC grid regions</t>
  </si>
  <si>
    <t>QC</t>
  </si>
  <si>
    <t>ON</t>
  </si>
  <si>
    <t>MB</t>
  </si>
  <si>
    <t>SK</t>
  </si>
  <si>
    <t>AB</t>
  </si>
  <si>
    <t>NB other Canadian States are not covered by Green-e</t>
  </si>
  <si>
    <t>2. AIB factors</t>
  </si>
  <si>
    <t>European Residual Mixes 2014</t>
  </si>
  <si>
    <t>European Residual Mixes 2015</t>
  </si>
  <si>
    <t>European Residual Mixes 2016</t>
  </si>
  <si>
    <t>European Residual Mixes 2017</t>
  </si>
  <si>
    <t>European Residual Mixes 2018</t>
  </si>
  <si>
    <t>kgCO2 / kWh</t>
  </si>
  <si>
    <t>kgCO2e / kWh</t>
  </si>
  <si>
    <t>Country</t>
  </si>
  <si>
    <t>AIB Factors</t>
  </si>
  <si>
    <t>Austria</t>
  </si>
  <si>
    <t>AT</t>
  </si>
  <si>
    <t xml:space="preserve">Austria </t>
  </si>
  <si>
    <t>Belgium</t>
  </si>
  <si>
    <t>BE</t>
  </si>
  <si>
    <t xml:space="preserve">Belgium </t>
  </si>
  <si>
    <t>Bulgaria</t>
  </si>
  <si>
    <t>BG</t>
  </si>
  <si>
    <t xml:space="preserve">Bulgaria </t>
  </si>
  <si>
    <t>Croatia</t>
  </si>
  <si>
    <t>HR</t>
  </si>
  <si>
    <t xml:space="preserve">Croatia </t>
  </si>
  <si>
    <t>Cyprus</t>
  </si>
  <si>
    <t>CY</t>
  </si>
  <si>
    <t xml:space="preserve">Cyprus </t>
  </si>
  <si>
    <t>Czech Republic</t>
  </si>
  <si>
    <t>CZ</t>
  </si>
  <si>
    <t xml:space="preserve">Czech Republic </t>
  </si>
  <si>
    <t>Denmark</t>
  </si>
  <si>
    <t>DK</t>
  </si>
  <si>
    <t xml:space="preserve">Denmark </t>
  </si>
  <si>
    <t>Estonia</t>
  </si>
  <si>
    <t>EE</t>
  </si>
  <si>
    <t xml:space="preserve">Estonia </t>
  </si>
  <si>
    <t>Finland</t>
  </si>
  <si>
    <t>FI</t>
  </si>
  <si>
    <t xml:space="preserve">Finland </t>
  </si>
  <si>
    <t>France</t>
  </si>
  <si>
    <t>FR</t>
  </si>
  <si>
    <t xml:space="preserve">France </t>
  </si>
  <si>
    <t>Germany</t>
  </si>
  <si>
    <t>DE</t>
  </si>
  <si>
    <t xml:space="preserve">Germany </t>
  </si>
  <si>
    <t>United Kingdom</t>
  </si>
  <si>
    <t>GB</t>
  </si>
  <si>
    <t xml:space="preserve">United Kingdom </t>
  </si>
  <si>
    <t>Greece</t>
  </si>
  <si>
    <t>GR</t>
  </si>
  <si>
    <t xml:space="preserve">Greece </t>
  </si>
  <si>
    <t>Hungary</t>
  </si>
  <si>
    <t>HU</t>
  </si>
  <si>
    <t xml:space="preserve">Hungary </t>
  </si>
  <si>
    <t>Iceland</t>
  </si>
  <si>
    <t>IS</t>
  </si>
  <si>
    <t xml:space="preserve">Iceland </t>
  </si>
  <si>
    <t>Ireland</t>
  </si>
  <si>
    <t>IE</t>
  </si>
  <si>
    <t xml:space="preserve">Ireland </t>
  </si>
  <si>
    <t>Italy</t>
  </si>
  <si>
    <t>IT</t>
  </si>
  <si>
    <t xml:space="preserve">Italy </t>
  </si>
  <si>
    <t>Latvia</t>
  </si>
  <si>
    <t>LV</t>
  </si>
  <si>
    <t xml:space="preserve">Latvia </t>
  </si>
  <si>
    <t>Lithuania</t>
  </si>
  <si>
    <t>LT</t>
  </si>
  <si>
    <t xml:space="preserve">Lithuania </t>
  </si>
  <si>
    <t>Luxembourg</t>
  </si>
  <si>
    <t>LU</t>
  </si>
  <si>
    <t xml:space="preserve">Luxembourg </t>
  </si>
  <si>
    <t>Malta</t>
  </si>
  <si>
    <t>MT</t>
  </si>
  <si>
    <t xml:space="preserve">Malta </t>
  </si>
  <si>
    <t>Netherlands</t>
  </si>
  <si>
    <t xml:space="preserve">Netherlands </t>
  </si>
  <si>
    <t>Norway</t>
  </si>
  <si>
    <t>NO</t>
  </si>
  <si>
    <t xml:space="preserve">Norway </t>
  </si>
  <si>
    <t>Poland</t>
  </si>
  <si>
    <t>PL</t>
  </si>
  <si>
    <t xml:space="preserve">Poland </t>
  </si>
  <si>
    <t>Portugal</t>
  </si>
  <si>
    <t>PT</t>
  </si>
  <si>
    <t xml:space="preserve">Portugal </t>
  </si>
  <si>
    <t>Romania</t>
  </si>
  <si>
    <t>RO</t>
  </si>
  <si>
    <t xml:space="preserve">Romania </t>
  </si>
  <si>
    <t>Slovakia</t>
  </si>
  <si>
    <t xml:space="preserve">Slovakia </t>
  </si>
  <si>
    <t>Slovenia</t>
  </si>
  <si>
    <t>SI</t>
  </si>
  <si>
    <t xml:space="preserve">Slovenia </t>
  </si>
  <si>
    <t>Spain</t>
  </si>
  <si>
    <t>ES</t>
  </si>
  <si>
    <t xml:space="preserve">Spain </t>
  </si>
  <si>
    <t>Sweden</t>
  </si>
  <si>
    <t>SE</t>
  </si>
  <si>
    <t xml:space="preserve">Sweden </t>
  </si>
  <si>
    <t>Switzerland</t>
  </si>
  <si>
    <t>CH</t>
  </si>
  <si>
    <t xml:space="preserve">Switzerland </t>
  </si>
  <si>
    <t>eGrid Subregion - Residual Mix - Market Based</t>
  </si>
  <si>
    <t>Units2</t>
  </si>
  <si>
    <t>European Residual Mixes 2018 v1.2 (published July 2019) - Table 2, Direct GWP (gCO2/kWh)</t>
  </si>
  <si>
    <t>Name</t>
  </si>
  <si>
    <t>CO2 Factor (kgCO2e)</t>
  </si>
  <si>
    <t>CH4 Factor (kgCO2e)</t>
  </si>
  <si>
    <t>N2O Factor (kgCO2e)</t>
  </si>
  <si>
    <t>AR4 (kgCO2e)</t>
  </si>
  <si>
    <t>AR5 (kgCO2e)</t>
  </si>
  <si>
    <t>Steam and Heat</t>
  </si>
  <si>
    <t>EPA, "Emission Factors for Greenhouse Gas Inventories," Table 7 Steam and Heat, March 9, 2018 (https://www.epa.gov/climateleadership/center-corporate-climate-leadership-ghg-emission-factors-hub).</t>
  </si>
  <si>
    <t xml:space="preserve">Note: Emission factors are per mmBtu of steam or heat purchased. These factors assume natural gas fuel is used to generate steam or heat at 80 percent thermal efficiency.  </t>
  </si>
  <si>
    <t>Table 10a</t>
  </si>
  <si>
    <t xml:space="preserve">   Global Warming Potentials (GWPs)</t>
  </si>
  <si>
    <t>Gas</t>
  </si>
  <si>
    <t>100-Year GWP</t>
  </si>
  <si>
    <r>
      <t>CO</t>
    </r>
    <r>
      <rPr>
        <vertAlign val="subscript"/>
        <sz val="10"/>
        <rFont val="Arial"/>
        <family val="2"/>
      </rPr>
      <t>2</t>
    </r>
    <r>
      <rPr>
        <sz val="10"/>
        <rFont val="Arial"/>
        <family val="2"/>
      </rPr>
      <t xml:space="preserve"> </t>
    </r>
  </si>
  <si>
    <r>
      <t>CH</t>
    </r>
    <r>
      <rPr>
        <vertAlign val="subscript"/>
        <sz val="10"/>
        <rFont val="Arial"/>
        <family val="2"/>
      </rPr>
      <t>4</t>
    </r>
  </si>
  <si>
    <r>
      <t>N</t>
    </r>
    <r>
      <rPr>
        <vertAlign val="subscript"/>
        <sz val="10"/>
        <rFont val="Arial"/>
        <family val="2"/>
      </rPr>
      <t>2</t>
    </r>
    <r>
      <rPr>
        <sz val="10"/>
        <rFont val="Arial"/>
        <family val="2"/>
      </rPr>
      <t>O</t>
    </r>
  </si>
  <si>
    <t>HFC-23</t>
  </si>
  <si>
    <t>HFC-32</t>
  </si>
  <si>
    <t>HFC-41</t>
  </si>
  <si>
    <t>HFC-125</t>
  </si>
  <si>
    <t>HFC-134</t>
  </si>
  <si>
    <t>HFC-134a</t>
  </si>
  <si>
    <t>HFC-143</t>
  </si>
  <si>
    <t>HFC-143a</t>
  </si>
  <si>
    <t>HFC-152</t>
  </si>
  <si>
    <t>HFC-152a</t>
  </si>
  <si>
    <t>HFC-161</t>
  </si>
  <si>
    <t>HFC-227ea</t>
  </si>
  <si>
    <t>HFC-236cb</t>
  </si>
  <si>
    <t>HFC-236ea</t>
  </si>
  <si>
    <t>HFC-236fa</t>
  </si>
  <si>
    <t>HFC-245ca</t>
  </si>
  <si>
    <t>HFC-245fa</t>
  </si>
  <si>
    <t>HFC-365mfc</t>
  </si>
  <si>
    <t>HFC-43-10mee</t>
  </si>
  <si>
    <r>
      <t>SF</t>
    </r>
    <r>
      <rPr>
        <vertAlign val="subscript"/>
        <sz val="10"/>
        <rFont val="Arial"/>
        <family val="2"/>
      </rPr>
      <t>6</t>
    </r>
    <r>
      <rPr>
        <sz val="10"/>
        <rFont val="Arial"/>
        <family val="2"/>
      </rPr>
      <t xml:space="preserve"> </t>
    </r>
  </si>
  <si>
    <r>
      <t>NF</t>
    </r>
    <r>
      <rPr>
        <vertAlign val="subscript"/>
        <sz val="10"/>
        <rFont val="Arial"/>
        <family val="2"/>
      </rPr>
      <t>3</t>
    </r>
  </si>
  <si>
    <r>
      <t>CF</t>
    </r>
    <r>
      <rPr>
        <vertAlign val="subscript"/>
        <sz val="10"/>
        <rFont val="Arial"/>
        <family val="2"/>
      </rPr>
      <t>4</t>
    </r>
    <r>
      <rPr>
        <sz val="10"/>
        <rFont val="Arial"/>
        <family val="2"/>
      </rPr>
      <t xml:space="preserve"> </t>
    </r>
  </si>
  <si>
    <r>
      <t>C</t>
    </r>
    <r>
      <rPr>
        <vertAlign val="subscript"/>
        <sz val="10"/>
        <rFont val="Arial"/>
        <family val="2"/>
      </rPr>
      <t>2</t>
    </r>
    <r>
      <rPr>
        <sz val="10"/>
        <rFont val="Arial"/>
        <family val="2"/>
      </rPr>
      <t>F</t>
    </r>
    <r>
      <rPr>
        <vertAlign val="subscript"/>
        <sz val="10"/>
        <rFont val="Arial"/>
        <family val="2"/>
      </rPr>
      <t>6</t>
    </r>
    <r>
      <rPr>
        <sz val="10"/>
        <rFont val="Arial"/>
        <family val="2"/>
      </rPr>
      <t xml:space="preserve"> </t>
    </r>
  </si>
  <si>
    <r>
      <t>C</t>
    </r>
    <r>
      <rPr>
        <vertAlign val="subscript"/>
        <sz val="10"/>
        <rFont val="Arial"/>
        <family val="2"/>
      </rPr>
      <t>3</t>
    </r>
    <r>
      <rPr>
        <sz val="10"/>
        <rFont val="Arial"/>
        <family val="2"/>
      </rPr>
      <t>F</t>
    </r>
    <r>
      <rPr>
        <vertAlign val="subscript"/>
        <sz val="10"/>
        <rFont val="Arial"/>
        <family val="2"/>
      </rPr>
      <t>8</t>
    </r>
  </si>
  <si>
    <r>
      <t>c-C</t>
    </r>
    <r>
      <rPr>
        <vertAlign val="subscript"/>
        <sz val="10"/>
        <rFont val="Arial"/>
        <family val="2"/>
      </rPr>
      <t>4</t>
    </r>
    <r>
      <rPr>
        <sz val="10"/>
        <rFont val="Arial"/>
        <family val="2"/>
      </rPr>
      <t>F</t>
    </r>
    <r>
      <rPr>
        <vertAlign val="subscript"/>
        <sz val="10"/>
        <rFont val="Arial"/>
        <family val="2"/>
      </rPr>
      <t>8</t>
    </r>
  </si>
  <si>
    <r>
      <t>C</t>
    </r>
    <r>
      <rPr>
        <vertAlign val="subscript"/>
        <sz val="10"/>
        <rFont val="Arial"/>
        <family val="2"/>
      </rPr>
      <t>4</t>
    </r>
    <r>
      <rPr>
        <sz val="10"/>
        <rFont val="Arial"/>
        <family val="2"/>
      </rPr>
      <t>F</t>
    </r>
    <r>
      <rPr>
        <vertAlign val="subscript"/>
        <sz val="10"/>
        <rFont val="Arial"/>
        <family val="2"/>
      </rPr>
      <t>10</t>
    </r>
    <r>
      <rPr>
        <sz val="10"/>
        <rFont val="Arial"/>
        <family val="2"/>
      </rPr>
      <t xml:space="preserve"> </t>
    </r>
  </si>
  <si>
    <r>
      <t>C</t>
    </r>
    <r>
      <rPr>
        <vertAlign val="subscript"/>
        <sz val="10"/>
        <rFont val="Arial"/>
        <family val="2"/>
      </rPr>
      <t>5</t>
    </r>
    <r>
      <rPr>
        <sz val="10"/>
        <rFont val="Arial"/>
        <family val="2"/>
      </rPr>
      <t>F</t>
    </r>
    <r>
      <rPr>
        <vertAlign val="subscript"/>
        <sz val="10"/>
        <rFont val="Arial"/>
        <family val="2"/>
      </rPr>
      <t>12</t>
    </r>
  </si>
  <si>
    <r>
      <t>C</t>
    </r>
    <r>
      <rPr>
        <vertAlign val="subscript"/>
        <sz val="10"/>
        <rFont val="Arial"/>
        <family val="2"/>
      </rPr>
      <t>6</t>
    </r>
    <r>
      <rPr>
        <sz val="10"/>
        <rFont val="Arial"/>
        <family val="2"/>
      </rPr>
      <t>F</t>
    </r>
    <r>
      <rPr>
        <vertAlign val="subscript"/>
        <sz val="10"/>
        <rFont val="Arial"/>
        <family val="2"/>
      </rPr>
      <t>14</t>
    </r>
  </si>
  <si>
    <r>
      <t>C</t>
    </r>
    <r>
      <rPr>
        <vertAlign val="subscript"/>
        <sz val="10"/>
        <rFont val="Arial"/>
        <family val="2"/>
      </rPr>
      <t>10</t>
    </r>
    <r>
      <rPr>
        <sz val="10"/>
        <rFont val="Arial"/>
        <family val="2"/>
      </rPr>
      <t>F</t>
    </r>
    <r>
      <rPr>
        <vertAlign val="subscript"/>
        <sz val="10"/>
        <rFont val="Arial"/>
        <family val="2"/>
      </rPr>
      <t>18</t>
    </r>
  </si>
  <si>
    <t>&gt;7,500</t>
  </si>
  <si>
    <r>
      <rPr>
        <b/>
        <sz val="9"/>
        <rFont val="Arial"/>
        <family val="2"/>
      </rPr>
      <t>Source:</t>
    </r>
    <r>
      <rPr>
        <sz val="9"/>
        <rFont val="Arial"/>
        <family val="2"/>
      </rPr>
      <t xml:space="preserve"> 
100-year GWPs from IPCC Fourth Assessment Report (AR4), 2007.  IPCC AR4 was published in 2007 and is among the most current and comprehensive peer-reviewed assessments of climate change. AR4 provides revised GWPs of several GHGs relative to the values provided in previous assessment reports, following advances in scientific knowledge on the radiative efficiencies and atmospheric lifetimes of these GHGs and of CO</t>
    </r>
    <r>
      <rPr>
        <vertAlign val="subscript"/>
        <sz val="9"/>
        <rFont val="Arial"/>
        <family val="2"/>
      </rPr>
      <t>2</t>
    </r>
    <r>
      <rPr>
        <sz val="9"/>
        <rFont val="Arial"/>
        <family val="2"/>
      </rPr>
      <t>. Because the GWPs provided in AR4 reflect an improved scientific understanding of the radiative effects of these gases in the atmosphere, the values provided are more appropriate for supporting the overall goal of organizational GHG reporting than the Second Assessment Report (SAR) GWP values previously used in the Emission Factors Hub. 
While EPA recognizes that Fifth Assessment Report (AR5) GWPs have been published, in an effort to ensure consistency and comparability of GHG data between EPA’s voluntary and non-voluntary GHG reporting programs (e.g. GHG Reporting Program and National Inventory), EPA recommends the use of AR4 GWPs. The United States and other developed countries to the UNFCCC have agreed to submit annual inventories in 2015 and future years to the UNFCCC using GWP values from AR4, which will replace the current use of SAR GWP values.  Utilizing AR4 GWPs improves EPA’s ability to analyze corporate, national, and sub-national GHG data consistently, enhances communication of GHG information between programs, and gives outside stakeholders a consistent, predictable set of GWPs to avoid confusion and additional burden.</t>
    </r>
  </si>
  <si>
    <t>Table 10b</t>
  </si>
  <si>
    <t>Global Warming Potentials (GWPs) for Blended Refrigerants</t>
  </si>
  <si>
    <t>ASHRAE #</t>
  </si>
  <si>
    <t>100-year GWP</t>
  </si>
  <si>
    <t>Blend Composition</t>
  </si>
  <si>
    <t>R-401A</t>
  </si>
  <si>
    <t>53% HCFC-22 , 34% HCFC-124 , 13% HFC-152a</t>
  </si>
  <si>
    <t>R-401B</t>
  </si>
  <si>
    <t>61% HCFC-22 , 28% HCFC-124 , 11% HFC-152a</t>
  </si>
  <si>
    <t>R-401C</t>
  </si>
  <si>
    <t>33% HCFC-22 , 52% HCFC-124 , 15% HFC-152a</t>
  </si>
  <si>
    <t>R-402A</t>
  </si>
  <si>
    <t>38% HCFC-22 , 6% HFC-125 , 2% propane</t>
  </si>
  <si>
    <t>R-402B</t>
  </si>
  <si>
    <t>6% HCFC-22 , 38% HFC-125 , 2% propane</t>
  </si>
  <si>
    <t>R-403B</t>
  </si>
  <si>
    <t>56% HCFC-22 , 39% PFC-218 , 5% propane</t>
  </si>
  <si>
    <t>R-404A</t>
  </si>
  <si>
    <t>44% HFC-125 , 4% HFC-134a , 52% HFC 143a</t>
  </si>
  <si>
    <t>R-406A</t>
  </si>
  <si>
    <t>55% HCFC-22 , 41% HCFC-142b , 4% isobutane</t>
  </si>
  <si>
    <t>R-407A</t>
  </si>
  <si>
    <t>20% HFC-32 , 40% HFC-125 , 40% HFC-134a</t>
  </si>
  <si>
    <t>R-407B</t>
  </si>
  <si>
    <t>10% HFC-32 , 70% HFC-125 , 20% HFC-134a</t>
  </si>
  <si>
    <t>R-407C</t>
  </si>
  <si>
    <t>23% HFC-32 , 25% HFC-125 , 52% HFC-134a</t>
  </si>
  <si>
    <t>R-407D</t>
  </si>
  <si>
    <t>15% HFC-32 , 15% HFC-125 , 70% HFC-134a</t>
  </si>
  <si>
    <t>R-407E</t>
  </si>
  <si>
    <t>25% HFC-32 , 15% HFC-125 , 60% HFC-134a</t>
  </si>
  <si>
    <t>R-408A</t>
  </si>
  <si>
    <t>47% HCFC-22 , 7% HFC-125 , 46% HFC 143a</t>
  </si>
  <si>
    <t>R-409A</t>
  </si>
  <si>
    <t>60% HCFC-22 , 25% HCFC-124 , 15% HCFC-142b</t>
  </si>
  <si>
    <t>R-410A</t>
  </si>
  <si>
    <t>50% HFC-32 , 50% HFC-125</t>
  </si>
  <si>
    <t>R-410B</t>
  </si>
  <si>
    <t xml:space="preserve">45% HFC-32 , 55% HFC-125 </t>
  </si>
  <si>
    <t>R-411A</t>
  </si>
  <si>
    <t>87.5% HCFC-22 , 11 HFC-152a , 1.5% propylene</t>
  </si>
  <si>
    <t>R-411B</t>
  </si>
  <si>
    <t>94% HCFC-22 , 3% HFC-152a , 3% propylene</t>
  </si>
  <si>
    <t>R-413A</t>
  </si>
  <si>
    <t>88% HFC-134a , 9% PFC-218 , 3% isobutane</t>
  </si>
  <si>
    <t>R-414A</t>
  </si>
  <si>
    <t>51% HCFC-22 , 28.5% HCFC-124 , 16.5% HCFC-142b</t>
  </si>
  <si>
    <t>R-414B</t>
  </si>
  <si>
    <t>5% HCFC-22 , 39% HCFC-124 , 9.5% HCFC-142b</t>
  </si>
  <si>
    <t>R-417A</t>
  </si>
  <si>
    <t>46.6% HFC-125 , 5% HFC-134a , 3.4% butane</t>
  </si>
  <si>
    <t>R-422A</t>
  </si>
  <si>
    <t>85.1% HFC-125 , 11.5% HFC-134a , 3.4% isobutane</t>
  </si>
  <si>
    <t>R-422D</t>
  </si>
  <si>
    <t>65.1% HFC-125 , 31.5% HFC-134a , 3.4% isobutane</t>
  </si>
  <si>
    <t>R-423A</t>
  </si>
  <si>
    <t xml:space="preserve">47.5% HFC-227ea , 52.5% HFC-134a ,  </t>
  </si>
  <si>
    <t>R-424A</t>
  </si>
  <si>
    <t>50.5% HFC-125, 47% HFC-134a, 2.5% butane/pentane</t>
  </si>
  <si>
    <t>R-426A</t>
  </si>
  <si>
    <t>5.1% HFC-125, 93% HFC-134a, 1.9% butane/pentane</t>
  </si>
  <si>
    <t>R-428A</t>
  </si>
  <si>
    <t>77.5% HFC-125 , 2% HFC-143a , 1.9% isobutane</t>
  </si>
  <si>
    <t>R-434A</t>
  </si>
  <si>
    <t>63.2% HFC-125, 16% HFC-134a, 18% HFC-143a, 2.8% isobutane</t>
  </si>
  <si>
    <t>R-500</t>
  </si>
  <si>
    <t>73.8% CFC-12 , 26.2% HFC-152a , 48.8% HCFC-22</t>
  </si>
  <si>
    <t>R-502</t>
  </si>
  <si>
    <t xml:space="preserve">48.8% HCFC-22 , 51.2% CFC-115 </t>
  </si>
  <si>
    <t>R-504</t>
  </si>
  <si>
    <t>48.2% HFC-32 , 51.8% CFC-115</t>
  </si>
  <si>
    <t>R-507</t>
  </si>
  <si>
    <t>5% HFC-125 , 5% HFC143a</t>
  </si>
  <si>
    <t>R-508A</t>
  </si>
  <si>
    <t>39% HFC-23 , 61% PFC-116</t>
  </si>
  <si>
    <t>R-508B</t>
  </si>
  <si>
    <t>46% HFC-23 , 54% PFC-116</t>
  </si>
  <si>
    <r>
      <rPr>
        <b/>
        <sz val="9"/>
        <rFont val="Arial"/>
        <family val="2"/>
      </rPr>
      <t>Source:</t>
    </r>
    <r>
      <rPr>
        <sz val="9"/>
        <rFont val="Arial"/>
        <family val="2"/>
      </rPr>
      <t xml:space="preserve"> 
100-year GWPs from IPCC Fourth Assessment Report (AR4), 2007.  See the source note to Table 13 for further explanation. GWPs of blended refrigerants are based on their HFC and PFC constituents, which are based on data from http://www.epa.gov/ozone/snap/refrigerants/refblend.html.</t>
    </r>
  </si>
  <si>
    <t>GWPs of Required Greenhouse Gases and Refrigerant Blends</t>
  </si>
  <si>
    <t>Lookup Name</t>
  </si>
  <si>
    <t>Carbon dioxide</t>
  </si>
  <si>
    <t xml:space="preserve">CO2 </t>
  </si>
  <si>
    <t>EPA, "Emission Factors for Greenhouse Gas Inventories," Table 10a Global Warming Potentials, March 9, 2018 (https://www.epa.gov/climateleadership/center-corporate-climate-leadership-ghg-emission-factors-hub).</t>
  </si>
  <si>
    <t>Methane</t>
  </si>
  <si>
    <t>Nitrous oxide</t>
  </si>
  <si>
    <t>HFC-23 (R-23)</t>
  </si>
  <si>
    <t>HFC-32 (R-32)</t>
  </si>
  <si>
    <t>HFC-41 (R-41)</t>
  </si>
  <si>
    <t>HFC-125 (R-125)</t>
  </si>
  <si>
    <t>HFC-134 (R-134)</t>
  </si>
  <si>
    <t>HFC-134a (R-134a)</t>
  </si>
  <si>
    <t>HFC-143 (R-143)</t>
  </si>
  <si>
    <t>HFC-143a (R-143a)</t>
  </si>
  <si>
    <t>HFC-152 (R-152)</t>
  </si>
  <si>
    <t>HFC-152a (R-152a)</t>
  </si>
  <si>
    <t>HFC-161 (R-161)</t>
  </si>
  <si>
    <t>HFC-227ea (R-227ea)</t>
  </si>
  <si>
    <t>HFC-236cb (R-236cb)</t>
  </si>
  <si>
    <t>HFC-236ea (R-236ea)</t>
  </si>
  <si>
    <t>HFC-236fa (R-236fa)</t>
  </si>
  <si>
    <t>HFC-245ca (R-245ca)</t>
  </si>
  <si>
    <t>HFC-245fa (R-245fa)</t>
  </si>
  <si>
    <t>HFC-365mfc  </t>
  </si>
  <si>
    <t>HFC-43-10mee (R-4310)</t>
  </si>
  <si>
    <t>Sulfur hexafluoride</t>
  </si>
  <si>
    <t xml:space="preserve">SF6 </t>
  </si>
  <si>
    <t>Nitrogen trifluoride</t>
  </si>
  <si>
    <t>NF3</t>
  </si>
  <si>
    <t xml:space="preserve">CF4 </t>
  </si>
  <si>
    <t xml:space="preserve">C2F6 </t>
  </si>
  <si>
    <t>C3F8</t>
  </si>
  <si>
    <t>c-C4F8</t>
  </si>
  <si>
    <t xml:space="preserve">C4F10 </t>
  </si>
  <si>
    <t>C5F12</t>
  </si>
  <si>
    <t>C6F14</t>
  </si>
  <si>
    <t>C10F18</t>
  </si>
  <si>
    <t>EPA, "Emission Factors for Greenhouse Gas Inventories," Table 10b Global Warming Potentials for Blended Refrigerants, March 9, 2018 (https://www.epa.gov/climateleadership/center-corporate-climate-leadership-ghg-emission-factors-hub).</t>
  </si>
  <si>
    <t>R-403A</t>
  </si>
  <si>
    <t>Common Name</t>
  </si>
  <si>
    <t>Formula</t>
  </si>
  <si>
    <t>Chemical Name</t>
  </si>
  <si>
    <t>Source 1</t>
  </si>
  <si>
    <t>Source 2</t>
  </si>
  <si>
    <t>-Intergovernmental Panel on Climate Change (IPCC), "Climate Change 2007: IPCC Fourth Assessment Report (AR4)."  2007.  (http://195.70.10.65/pdf/assessment-report/ar4/syr/ar4_syr.pdf)  GWPs: IPCC's Working Group I, "Climate Change 2007: The Physical Science Basis."  Ch. 2, p. 212-215, Tables 2.14 and 2.15, 2007.  (http://195.70.10.65/pdf/assessment-report/ar4/wg1/ar4-wg1-chapter2.pdf)</t>
  </si>
  <si>
    <t>-Intergovernmental Panel on Climate Change (IPCC), "Climate Change 2013: IPCC Fifth Assessment Report (AR5)."  2013. (http://www.climatechange2013.org/images/report/WG1AR5_ALL_FINAL.pdf).  GWPs: IPCC's Working Group I, "Climate Change 2013: The Physical Science Basis."  Ch. 8, p. 731-738, Table 8.A.1, 2013.  (https://www.ipcc.ch/pdf/assessment-report/ar5/wg1/WG1AR5_Chapter08_FINAL.pdf)</t>
  </si>
  <si>
    <t>SF6</t>
  </si>
  <si>
    <t>Hydrofluorocarbons (HFCs)</t>
  </si>
  <si>
    <t>CHF3</t>
  </si>
  <si>
    <t>trifluoromethane</t>
  </si>
  <si>
    <t>CH2F2</t>
  </si>
  <si>
    <t>difluoromethane</t>
  </si>
  <si>
    <t>CH3F</t>
  </si>
  <si>
    <t>fluoromethane</t>
  </si>
  <si>
    <t>C2HF5</t>
  </si>
  <si>
    <t>pentafluoroethane</t>
  </si>
  <si>
    <t>C2H2F4</t>
  </si>
  <si>
    <t>1,1,2,2-tetrafluoroethane</t>
  </si>
  <si>
    <t>1,1,1,2-tetrafluoroethane</t>
  </si>
  <si>
    <t>C2H3F3</t>
  </si>
  <si>
    <t>1,1,2-trifluoroethane</t>
  </si>
  <si>
    <t>1,1,1-trifluoroethane</t>
  </si>
  <si>
    <t>C2H4F2</t>
  </si>
  <si>
    <t>1,2-difluoroethane</t>
  </si>
  <si>
    <t>1,1-difluoroethane</t>
  </si>
  <si>
    <t>C2H5F</t>
  </si>
  <si>
    <t>fluoroethane</t>
  </si>
  <si>
    <t>C3HF7</t>
  </si>
  <si>
    <t>1,1,1,2,3,3,3-heptafluoropropane</t>
  </si>
  <si>
    <t>C3H2F6</t>
  </si>
  <si>
    <t>1,1,1,2,2,3-hexafluoropropane</t>
  </si>
  <si>
    <t>1,1,1,2,3,3-hexafluoropropane</t>
  </si>
  <si>
    <t>1,1,1,3,3,3-hexafluoropropane</t>
  </si>
  <si>
    <t>C3H3F5</t>
  </si>
  <si>
    <t>1,1,2,2,3-pentafluoropropane</t>
  </si>
  <si>
    <t>1,1,1,3,3-pentafluoropropane</t>
  </si>
  <si>
    <t>C4H5F5</t>
  </si>
  <si>
    <t>1,1,1,3,3-pentafluorobutane</t>
  </si>
  <si>
    <t>C5H2F10</t>
  </si>
  <si>
    <t>1,1,1,2,3,4,4,5,5,5-decafluoropentane</t>
  </si>
  <si>
    <t>Perfluorocarbons (PFCs)</t>
  </si>
  <si>
    <t>PFC-14 (Perfluoromethane)</t>
  </si>
  <si>
    <t>CF4</t>
  </si>
  <si>
    <t>tetrafluoromethane</t>
  </si>
  <si>
    <t>PFC-116 (Perfluoroethane)  </t>
  </si>
  <si>
    <t>C2F6</t>
  </si>
  <si>
    <t>hexafluoroethane</t>
  </si>
  <si>
    <t>PFC-218 (Perfluoropropane)  </t>
  </si>
  <si>
    <t>octafluoropropane</t>
  </si>
  <si>
    <t>PFC-318 (Perfluorocyclobutane)</t>
  </si>
  <si>
    <t>octafluorocyclobutane</t>
  </si>
  <si>
    <t>PFC-3-1-10 (Perfluorobutane)  </t>
  </si>
  <si>
    <t>C4F10</t>
  </si>
  <si>
    <t>decafluorobutane</t>
  </si>
  <si>
    <t>PFC-4-1-12 (Perfluoropentane)  </t>
  </si>
  <si>
    <t>dodecafluoropentane</t>
  </si>
  <si>
    <t>PFC-5-1-14 (Perfluorohexane)  </t>
  </si>
  <si>
    <t>tetradecafluorohexane</t>
  </si>
  <si>
    <t>PFC-9-1-18 (Perfluorodecalin)  </t>
  </si>
  <si>
    <t>Assumes 65% actual HCFC-123 GWP, 12% HFC-134a GWP, and 23% actual HCFC-22 GWP***</t>
  </si>
  <si>
    <t>Refrigerant Blend</t>
  </si>
  <si>
    <t>--</t>
  </si>
  <si>
    <t>HFC</t>
  </si>
  <si>
    <t>PFC</t>
  </si>
  <si>
    <t>R-407F</t>
  </si>
  <si>
    <t>R-412A</t>
  </si>
  <si>
    <t>R-415A</t>
  </si>
  <si>
    <t>R-415B</t>
  </si>
  <si>
    <t>R-416A</t>
  </si>
  <si>
    <t>R-417B</t>
  </si>
  <si>
    <t>R-417C</t>
  </si>
  <si>
    <t>R-418A</t>
  </si>
  <si>
    <t>R-419A</t>
  </si>
  <si>
    <t>R-419B</t>
  </si>
  <si>
    <t>R-420A</t>
  </si>
  <si>
    <t>R-421A</t>
  </si>
  <si>
    <t>R-421B</t>
  </si>
  <si>
    <t>R-422B</t>
  </si>
  <si>
    <t>R-422C</t>
  </si>
  <si>
    <t>R-422E</t>
  </si>
  <si>
    <t>R-425A</t>
  </si>
  <si>
    <t>R-427A</t>
  </si>
  <si>
    <t>R-429A</t>
  </si>
  <si>
    <t>R-430A</t>
  </si>
  <si>
    <t>R-431A</t>
  </si>
  <si>
    <t>R-435A</t>
  </si>
  <si>
    <t>R-437A</t>
  </si>
  <si>
    <t>R-438A</t>
  </si>
  <si>
    <t>R-439A</t>
  </si>
  <si>
    <t>R-444A</t>
  </si>
  <si>
    <t>R-445A</t>
  </si>
  <si>
    <t>R-503</t>
  </si>
  <si>
    <t>R-507A</t>
  </si>
  <si>
    <t>R-509</t>
  </si>
  <si>
    <t>R-509A</t>
  </si>
  <si>
    <t>R-512A</t>
  </si>
  <si>
    <t>Substances controlled by the Montreal Protocol **</t>
  </si>
  <si>
    <t>CFC-11</t>
  </si>
  <si>
    <r>
      <t>CCl</t>
    </r>
    <r>
      <rPr>
        <vertAlign val="subscript"/>
        <sz val="10"/>
        <rFont val="Arial"/>
        <family val="2"/>
      </rPr>
      <t>3</t>
    </r>
    <r>
      <rPr>
        <sz val="10"/>
        <color theme="1"/>
        <rFont val="Arial"/>
        <family val="2"/>
      </rPr>
      <t>F</t>
    </r>
  </si>
  <si>
    <t>CFC-12</t>
  </si>
  <si>
    <r>
      <t>CCl</t>
    </r>
    <r>
      <rPr>
        <vertAlign val="subscript"/>
        <sz val="10"/>
        <rFont val="Arial"/>
        <family val="2"/>
      </rPr>
      <t>2</t>
    </r>
    <r>
      <rPr>
        <sz val="10"/>
        <color theme="1"/>
        <rFont val="Arial"/>
        <family val="2"/>
      </rPr>
      <t>F</t>
    </r>
    <r>
      <rPr>
        <vertAlign val="subscript"/>
        <sz val="10"/>
        <rFont val="Arial"/>
        <family val="2"/>
      </rPr>
      <t>2</t>
    </r>
  </si>
  <si>
    <t>CFC-13</t>
  </si>
  <si>
    <r>
      <t>CClF</t>
    </r>
    <r>
      <rPr>
        <vertAlign val="subscript"/>
        <sz val="10"/>
        <rFont val="Arial"/>
        <family val="2"/>
      </rPr>
      <t>3</t>
    </r>
  </si>
  <si>
    <t>CFC-113</t>
  </si>
  <si>
    <r>
      <t>CCl</t>
    </r>
    <r>
      <rPr>
        <vertAlign val="subscript"/>
        <sz val="10"/>
        <rFont val="Arial"/>
        <family val="2"/>
      </rPr>
      <t>2</t>
    </r>
    <r>
      <rPr>
        <sz val="10"/>
        <color theme="1"/>
        <rFont val="Arial"/>
        <family val="2"/>
      </rPr>
      <t>FCClF</t>
    </r>
    <r>
      <rPr>
        <vertAlign val="subscript"/>
        <sz val="10"/>
        <rFont val="Arial"/>
        <family val="2"/>
      </rPr>
      <t>2</t>
    </r>
  </si>
  <si>
    <t>CFC-114</t>
  </si>
  <si>
    <r>
      <t>CClF</t>
    </r>
    <r>
      <rPr>
        <vertAlign val="subscript"/>
        <sz val="10"/>
        <rFont val="Arial"/>
        <family val="2"/>
      </rPr>
      <t>2</t>
    </r>
    <r>
      <rPr>
        <sz val="10"/>
        <color theme="1"/>
        <rFont val="Arial"/>
        <family val="2"/>
      </rPr>
      <t>CClF</t>
    </r>
    <r>
      <rPr>
        <vertAlign val="subscript"/>
        <sz val="10"/>
        <rFont val="Arial"/>
        <family val="2"/>
      </rPr>
      <t>2</t>
    </r>
  </si>
  <si>
    <t>CFC-115</t>
  </si>
  <si>
    <r>
      <t>CClF</t>
    </r>
    <r>
      <rPr>
        <vertAlign val="subscript"/>
        <sz val="10"/>
        <rFont val="Arial"/>
        <family val="2"/>
      </rPr>
      <t>2</t>
    </r>
    <r>
      <rPr>
        <sz val="10"/>
        <color theme="1"/>
        <rFont val="Arial"/>
        <family val="2"/>
      </rPr>
      <t>CF</t>
    </r>
    <r>
      <rPr>
        <vertAlign val="subscript"/>
        <sz val="10"/>
        <rFont val="Arial"/>
        <family val="2"/>
      </rPr>
      <t>3</t>
    </r>
  </si>
  <si>
    <t>Halon-1301</t>
  </si>
  <si>
    <r>
      <t>CBrF</t>
    </r>
    <r>
      <rPr>
        <vertAlign val="subscript"/>
        <sz val="10"/>
        <rFont val="Arial"/>
        <family val="2"/>
      </rPr>
      <t>3</t>
    </r>
  </si>
  <si>
    <t>Halon-1211</t>
  </si>
  <si>
    <r>
      <t>CBrClF</t>
    </r>
    <r>
      <rPr>
        <vertAlign val="subscript"/>
        <sz val="10"/>
        <rFont val="Arial"/>
        <family val="2"/>
      </rPr>
      <t>2</t>
    </r>
  </si>
  <si>
    <t>Halon-2402</t>
  </si>
  <si>
    <r>
      <t>CBrF</t>
    </r>
    <r>
      <rPr>
        <vertAlign val="subscript"/>
        <sz val="10"/>
        <rFont val="Arial"/>
        <family val="2"/>
      </rPr>
      <t>2</t>
    </r>
    <r>
      <rPr>
        <sz val="10"/>
        <color theme="1"/>
        <rFont val="Arial"/>
        <family val="2"/>
      </rPr>
      <t>CBrF</t>
    </r>
    <r>
      <rPr>
        <vertAlign val="subscript"/>
        <sz val="10"/>
        <rFont val="Arial"/>
        <family val="2"/>
      </rPr>
      <t>2</t>
    </r>
  </si>
  <si>
    <t>Carbon tetrachloride</t>
  </si>
  <si>
    <r>
      <t>CCl</t>
    </r>
    <r>
      <rPr>
        <vertAlign val="subscript"/>
        <sz val="10"/>
        <rFont val="Arial"/>
        <family val="2"/>
      </rPr>
      <t>4</t>
    </r>
  </si>
  <si>
    <t>Methyl bromide</t>
  </si>
  <si>
    <r>
      <t>CH</t>
    </r>
    <r>
      <rPr>
        <vertAlign val="subscript"/>
        <sz val="10"/>
        <rFont val="Arial"/>
        <family val="2"/>
      </rPr>
      <t>3</t>
    </r>
    <r>
      <rPr>
        <sz val="10"/>
        <color theme="1"/>
        <rFont val="Arial"/>
        <family val="2"/>
      </rPr>
      <t>Br</t>
    </r>
  </si>
  <si>
    <t>Methyl chloroform</t>
  </si>
  <si>
    <r>
      <t>CH</t>
    </r>
    <r>
      <rPr>
        <vertAlign val="subscript"/>
        <sz val="10"/>
        <rFont val="Arial"/>
        <family val="2"/>
      </rPr>
      <t>3</t>
    </r>
    <r>
      <rPr>
        <sz val="10"/>
        <color theme="1"/>
        <rFont val="Arial"/>
        <family val="2"/>
      </rPr>
      <t>CCl</t>
    </r>
    <r>
      <rPr>
        <vertAlign val="subscript"/>
        <sz val="10"/>
        <rFont val="Arial"/>
        <family val="2"/>
      </rPr>
      <t>3</t>
    </r>
  </si>
  <si>
    <t>HCFC-21</t>
  </si>
  <si>
    <r>
      <t>CHCl</t>
    </r>
    <r>
      <rPr>
        <vertAlign val="subscript"/>
        <sz val="10"/>
        <rFont val="Arial"/>
        <family val="2"/>
      </rPr>
      <t>2</t>
    </r>
    <r>
      <rPr>
        <sz val="10"/>
        <rFont val="Arial"/>
        <family val="2"/>
      </rPr>
      <t>F</t>
    </r>
  </si>
  <si>
    <t>R-22 (HCFC-22)</t>
  </si>
  <si>
    <r>
      <t>CHClF</t>
    </r>
    <r>
      <rPr>
        <vertAlign val="subscript"/>
        <sz val="10"/>
        <rFont val="Arial"/>
        <family val="2"/>
      </rPr>
      <t>2</t>
    </r>
  </si>
  <si>
    <t>HCFC-123</t>
  </si>
  <si>
    <r>
      <t>CHCl</t>
    </r>
    <r>
      <rPr>
        <vertAlign val="subscript"/>
        <sz val="10"/>
        <rFont val="Arial"/>
        <family val="2"/>
      </rPr>
      <t>2</t>
    </r>
    <r>
      <rPr>
        <sz val="10"/>
        <color theme="1"/>
        <rFont val="Arial"/>
        <family val="2"/>
      </rPr>
      <t>CF</t>
    </r>
    <r>
      <rPr>
        <vertAlign val="subscript"/>
        <sz val="10"/>
        <rFont val="Arial"/>
        <family val="2"/>
      </rPr>
      <t>3</t>
    </r>
  </si>
  <si>
    <t>HCFC-124</t>
  </si>
  <si>
    <r>
      <t>CHClFCF</t>
    </r>
    <r>
      <rPr>
        <vertAlign val="subscript"/>
        <sz val="10"/>
        <rFont val="Arial"/>
        <family val="2"/>
      </rPr>
      <t>3</t>
    </r>
  </si>
  <si>
    <t>HCFC-141b</t>
  </si>
  <si>
    <r>
      <t>CH</t>
    </r>
    <r>
      <rPr>
        <vertAlign val="subscript"/>
        <sz val="10"/>
        <rFont val="Arial"/>
        <family val="2"/>
      </rPr>
      <t>3</t>
    </r>
    <r>
      <rPr>
        <sz val="10"/>
        <color theme="1"/>
        <rFont val="Arial"/>
        <family val="2"/>
      </rPr>
      <t>CCl</t>
    </r>
    <r>
      <rPr>
        <vertAlign val="subscript"/>
        <sz val="10"/>
        <rFont val="Arial"/>
        <family val="2"/>
      </rPr>
      <t>2</t>
    </r>
    <r>
      <rPr>
        <sz val="10"/>
        <color theme="1"/>
        <rFont val="Arial"/>
        <family val="2"/>
      </rPr>
      <t>F</t>
    </r>
  </si>
  <si>
    <t>HCFC-142b</t>
  </si>
  <si>
    <r>
      <t>CH</t>
    </r>
    <r>
      <rPr>
        <vertAlign val="subscript"/>
        <sz val="10"/>
        <rFont val="Arial"/>
        <family val="2"/>
      </rPr>
      <t>3</t>
    </r>
    <r>
      <rPr>
        <sz val="10"/>
        <color theme="1"/>
        <rFont val="Arial"/>
        <family val="2"/>
      </rPr>
      <t>CClF</t>
    </r>
    <r>
      <rPr>
        <vertAlign val="subscript"/>
        <sz val="10"/>
        <rFont val="Arial"/>
        <family val="2"/>
      </rPr>
      <t>2</t>
    </r>
  </si>
  <si>
    <t>HCFC-225ca</t>
  </si>
  <si>
    <r>
      <t>CHCl</t>
    </r>
    <r>
      <rPr>
        <vertAlign val="subscript"/>
        <sz val="10"/>
        <rFont val="Arial"/>
        <family val="2"/>
      </rPr>
      <t>2</t>
    </r>
    <r>
      <rPr>
        <sz val="10"/>
        <color theme="1"/>
        <rFont val="Arial"/>
        <family val="2"/>
      </rPr>
      <t>CF</t>
    </r>
    <r>
      <rPr>
        <vertAlign val="subscript"/>
        <sz val="10"/>
        <rFont val="Arial"/>
        <family val="2"/>
      </rPr>
      <t>2</t>
    </r>
    <r>
      <rPr>
        <sz val="10"/>
        <color theme="1"/>
        <rFont val="Arial"/>
        <family val="2"/>
      </rPr>
      <t>CF</t>
    </r>
    <r>
      <rPr>
        <vertAlign val="subscript"/>
        <sz val="10"/>
        <rFont val="Arial"/>
        <family val="2"/>
      </rPr>
      <t>3</t>
    </r>
  </si>
  <si>
    <t>HCFC-225cb</t>
  </si>
  <si>
    <r>
      <t>CHClFCF</t>
    </r>
    <r>
      <rPr>
        <vertAlign val="subscript"/>
        <sz val="10"/>
        <rFont val="Arial"/>
        <family val="2"/>
      </rPr>
      <t>2</t>
    </r>
    <r>
      <rPr>
        <sz val="10"/>
        <color theme="1"/>
        <rFont val="Arial"/>
        <family val="2"/>
      </rPr>
      <t>CClF</t>
    </r>
    <r>
      <rPr>
        <vertAlign val="subscript"/>
        <sz val="10"/>
        <rFont val="Arial"/>
        <family val="2"/>
      </rPr>
      <t>2</t>
    </r>
  </si>
  <si>
    <t>Fluorinated ethers</t>
  </si>
  <si>
    <t>HFE-125</t>
  </si>
  <si>
    <r>
      <t>CHF</t>
    </r>
    <r>
      <rPr>
        <vertAlign val="subscript"/>
        <sz val="10"/>
        <rFont val="Arial"/>
        <family val="2"/>
      </rPr>
      <t>2</t>
    </r>
    <r>
      <rPr>
        <sz val="10"/>
        <color theme="1"/>
        <rFont val="Arial"/>
        <family val="2"/>
      </rPr>
      <t>OCF</t>
    </r>
    <r>
      <rPr>
        <vertAlign val="subscript"/>
        <sz val="10"/>
        <rFont val="Arial"/>
        <family val="2"/>
      </rPr>
      <t>3</t>
    </r>
  </si>
  <si>
    <t>HFE-134</t>
  </si>
  <si>
    <r>
      <t>CHF</t>
    </r>
    <r>
      <rPr>
        <vertAlign val="subscript"/>
        <sz val="10"/>
        <rFont val="Arial"/>
        <family val="2"/>
      </rPr>
      <t>2</t>
    </r>
    <r>
      <rPr>
        <sz val="10"/>
        <color theme="1"/>
        <rFont val="Arial"/>
        <family val="2"/>
      </rPr>
      <t>OCHF</t>
    </r>
    <r>
      <rPr>
        <vertAlign val="subscript"/>
        <sz val="10"/>
        <rFont val="Arial"/>
        <family val="2"/>
      </rPr>
      <t>2</t>
    </r>
  </si>
  <si>
    <t>HFE-143a</t>
  </si>
  <si>
    <r>
      <t>CH</t>
    </r>
    <r>
      <rPr>
        <vertAlign val="subscript"/>
        <sz val="10"/>
        <rFont val="Arial"/>
        <family val="2"/>
      </rPr>
      <t>3</t>
    </r>
    <r>
      <rPr>
        <sz val="10"/>
        <color theme="1"/>
        <rFont val="Arial"/>
        <family val="2"/>
      </rPr>
      <t>OCF</t>
    </r>
    <r>
      <rPr>
        <vertAlign val="subscript"/>
        <sz val="10"/>
        <rFont val="Arial"/>
        <family val="2"/>
      </rPr>
      <t>3</t>
    </r>
  </si>
  <si>
    <t>HCFE-235da2</t>
  </si>
  <si>
    <r>
      <t>CHF</t>
    </r>
    <r>
      <rPr>
        <vertAlign val="subscript"/>
        <sz val="10"/>
        <rFont val="Arial"/>
        <family val="2"/>
      </rPr>
      <t>2</t>
    </r>
    <r>
      <rPr>
        <sz val="10"/>
        <color theme="1"/>
        <rFont val="Arial"/>
        <family val="2"/>
      </rPr>
      <t>OCHClCF</t>
    </r>
    <r>
      <rPr>
        <vertAlign val="subscript"/>
        <sz val="10"/>
        <rFont val="Arial"/>
        <family val="2"/>
      </rPr>
      <t>3</t>
    </r>
  </si>
  <si>
    <t>HFE-245cb2</t>
  </si>
  <si>
    <r>
      <t>CH</t>
    </r>
    <r>
      <rPr>
        <vertAlign val="subscript"/>
        <sz val="10"/>
        <rFont val="Arial"/>
        <family val="2"/>
      </rPr>
      <t>3</t>
    </r>
    <r>
      <rPr>
        <sz val="10"/>
        <color theme="1"/>
        <rFont val="Arial"/>
        <family val="2"/>
      </rPr>
      <t>OCF</t>
    </r>
    <r>
      <rPr>
        <vertAlign val="subscript"/>
        <sz val="10"/>
        <rFont val="Arial"/>
        <family val="2"/>
      </rPr>
      <t>2</t>
    </r>
    <r>
      <rPr>
        <sz val="10"/>
        <color theme="1"/>
        <rFont val="Arial"/>
        <family val="2"/>
      </rPr>
      <t>CF</t>
    </r>
    <r>
      <rPr>
        <vertAlign val="subscript"/>
        <sz val="10"/>
        <rFont val="Arial"/>
        <family val="2"/>
      </rPr>
      <t>3</t>
    </r>
  </si>
  <si>
    <t>HFE-245fa2</t>
  </si>
  <si>
    <r>
      <t>CHF</t>
    </r>
    <r>
      <rPr>
        <vertAlign val="subscript"/>
        <sz val="10"/>
        <rFont val="Arial"/>
        <family val="2"/>
      </rPr>
      <t>2</t>
    </r>
    <r>
      <rPr>
        <sz val="10"/>
        <color theme="1"/>
        <rFont val="Arial"/>
        <family val="2"/>
      </rPr>
      <t>OCH</t>
    </r>
    <r>
      <rPr>
        <vertAlign val="subscript"/>
        <sz val="10"/>
        <rFont val="Arial"/>
        <family val="2"/>
      </rPr>
      <t>2</t>
    </r>
    <r>
      <rPr>
        <sz val="10"/>
        <color theme="1"/>
        <rFont val="Arial"/>
        <family val="2"/>
      </rPr>
      <t>CF</t>
    </r>
    <r>
      <rPr>
        <vertAlign val="subscript"/>
        <sz val="10"/>
        <rFont val="Arial"/>
        <family val="2"/>
      </rPr>
      <t>3</t>
    </r>
  </si>
  <si>
    <t>HFE-254cb2</t>
  </si>
  <si>
    <r>
      <t>CH</t>
    </r>
    <r>
      <rPr>
        <vertAlign val="subscript"/>
        <sz val="10"/>
        <rFont val="Arial"/>
        <family val="2"/>
      </rPr>
      <t>3</t>
    </r>
    <r>
      <rPr>
        <sz val="10"/>
        <color theme="1"/>
        <rFont val="Arial"/>
        <family val="2"/>
      </rPr>
      <t>OCF</t>
    </r>
    <r>
      <rPr>
        <vertAlign val="subscript"/>
        <sz val="10"/>
        <rFont val="Arial"/>
        <family val="2"/>
      </rPr>
      <t>2</t>
    </r>
    <r>
      <rPr>
        <sz val="10"/>
        <color theme="1"/>
        <rFont val="Arial"/>
        <family val="2"/>
      </rPr>
      <t>CHF</t>
    </r>
    <r>
      <rPr>
        <vertAlign val="subscript"/>
        <sz val="10"/>
        <rFont val="Arial"/>
        <family val="2"/>
      </rPr>
      <t>2</t>
    </r>
  </si>
  <si>
    <t>HFE-347mcc3</t>
  </si>
  <si>
    <r>
      <t>CH</t>
    </r>
    <r>
      <rPr>
        <vertAlign val="subscript"/>
        <sz val="10"/>
        <rFont val="Arial"/>
        <family val="2"/>
      </rPr>
      <t>3</t>
    </r>
    <r>
      <rPr>
        <sz val="10"/>
        <color theme="1"/>
        <rFont val="Arial"/>
        <family val="2"/>
      </rPr>
      <t>OCF</t>
    </r>
    <r>
      <rPr>
        <vertAlign val="subscript"/>
        <sz val="10"/>
        <rFont val="Arial"/>
        <family val="2"/>
      </rPr>
      <t>2</t>
    </r>
    <r>
      <rPr>
        <sz val="10"/>
        <color theme="1"/>
        <rFont val="Arial"/>
        <family val="2"/>
      </rPr>
      <t>CF</t>
    </r>
    <r>
      <rPr>
        <vertAlign val="subscript"/>
        <sz val="10"/>
        <rFont val="Arial"/>
        <family val="2"/>
      </rPr>
      <t>2</t>
    </r>
    <r>
      <rPr>
        <sz val="10"/>
        <color theme="1"/>
        <rFont val="Arial"/>
        <family val="2"/>
      </rPr>
      <t>CF</t>
    </r>
    <r>
      <rPr>
        <vertAlign val="subscript"/>
        <sz val="10"/>
        <rFont val="Arial"/>
        <family val="2"/>
      </rPr>
      <t>3</t>
    </r>
  </si>
  <si>
    <t>HFE-347mmy</t>
  </si>
  <si>
    <r>
      <t>(CF</t>
    </r>
    <r>
      <rPr>
        <vertAlign val="subscript"/>
        <sz val="10"/>
        <rFont val="Arial"/>
        <family val="2"/>
      </rPr>
      <t>3</t>
    </r>
    <r>
      <rPr>
        <sz val="10"/>
        <rFont val="Arial"/>
        <family val="2"/>
      </rPr>
      <t>)</t>
    </r>
    <r>
      <rPr>
        <vertAlign val="subscript"/>
        <sz val="10"/>
        <rFont val="Arial"/>
        <family val="2"/>
      </rPr>
      <t>2</t>
    </r>
    <r>
      <rPr>
        <sz val="10"/>
        <rFont val="Arial"/>
        <family val="2"/>
      </rPr>
      <t>CFOCH</t>
    </r>
    <r>
      <rPr>
        <vertAlign val="subscript"/>
        <sz val="10"/>
        <rFont val="Arial"/>
        <family val="2"/>
      </rPr>
      <t>3</t>
    </r>
  </si>
  <si>
    <t>HFE-347pcf2</t>
  </si>
  <si>
    <r>
      <t>CHF</t>
    </r>
    <r>
      <rPr>
        <vertAlign val="subscript"/>
        <sz val="10"/>
        <rFont val="Arial"/>
        <family val="2"/>
      </rPr>
      <t>2</t>
    </r>
    <r>
      <rPr>
        <sz val="10"/>
        <color theme="1"/>
        <rFont val="Arial"/>
        <family val="2"/>
      </rPr>
      <t>CF</t>
    </r>
    <r>
      <rPr>
        <vertAlign val="subscript"/>
        <sz val="10"/>
        <rFont val="Arial"/>
        <family val="2"/>
      </rPr>
      <t>2</t>
    </r>
    <r>
      <rPr>
        <sz val="10"/>
        <color theme="1"/>
        <rFont val="Arial"/>
        <family val="2"/>
      </rPr>
      <t>OCH</t>
    </r>
    <r>
      <rPr>
        <vertAlign val="subscript"/>
        <sz val="10"/>
        <rFont val="Arial"/>
        <family val="2"/>
      </rPr>
      <t>2</t>
    </r>
    <r>
      <rPr>
        <sz val="10"/>
        <color theme="1"/>
        <rFont val="Arial"/>
        <family val="2"/>
      </rPr>
      <t>CF</t>
    </r>
    <r>
      <rPr>
        <vertAlign val="subscript"/>
        <sz val="10"/>
        <rFont val="Arial"/>
        <family val="2"/>
      </rPr>
      <t>3</t>
    </r>
  </si>
  <si>
    <t>HFE-356pcc3</t>
  </si>
  <si>
    <r>
      <t>CH</t>
    </r>
    <r>
      <rPr>
        <vertAlign val="subscript"/>
        <sz val="10"/>
        <rFont val="Arial"/>
        <family val="2"/>
      </rPr>
      <t>3</t>
    </r>
    <r>
      <rPr>
        <sz val="10"/>
        <color theme="1"/>
        <rFont val="Arial"/>
        <family val="2"/>
      </rPr>
      <t>OCF</t>
    </r>
    <r>
      <rPr>
        <vertAlign val="subscript"/>
        <sz val="10"/>
        <rFont val="Arial"/>
        <family val="2"/>
      </rPr>
      <t>2</t>
    </r>
    <r>
      <rPr>
        <sz val="10"/>
        <color theme="1"/>
        <rFont val="Arial"/>
        <family val="2"/>
      </rPr>
      <t>CF</t>
    </r>
    <r>
      <rPr>
        <vertAlign val="subscript"/>
        <sz val="10"/>
        <rFont val="Arial"/>
        <family val="2"/>
      </rPr>
      <t>2</t>
    </r>
    <r>
      <rPr>
        <sz val="10"/>
        <color theme="1"/>
        <rFont val="Arial"/>
        <family val="2"/>
      </rPr>
      <t>CHF</t>
    </r>
    <r>
      <rPr>
        <vertAlign val="subscript"/>
        <sz val="10"/>
        <rFont val="Arial"/>
        <family val="2"/>
      </rPr>
      <t>2</t>
    </r>
  </si>
  <si>
    <t>HFE-356pcf3</t>
  </si>
  <si>
    <r>
      <t>CHF</t>
    </r>
    <r>
      <rPr>
        <vertAlign val="subscript"/>
        <sz val="10"/>
        <rFont val="Arial"/>
        <family val="2"/>
      </rPr>
      <t>2</t>
    </r>
    <r>
      <rPr>
        <sz val="10"/>
        <rFont val="Arial"/>
        <family val="2"/>
      </rPr>
      <t>CF</t>
    </r>
    <r>
      <rPr>
        <vertAlign val="subscript"/>
        <sz val="10"/>
        <rFont val="Arial"/>
        <family val="2"/>
      </rPr>
      <t>2</t>
    </r>
    <r>
      <rPr>
        <sz val="10"/>
        <rFont val="Arial"/>
        <family val="2"/>
      </rPr>
      <t>CH</t>
    </r>
    <r>
      <rPr>
        <vertAlign val="subscript"/>
        <sz val="10"/>
        <rFont val="Arial"/>
        <family val="2"/>
      </rPr>
      <t>2</t>
    </r>
    <r>
      <rPr>
        <sz val="10"/>
        <rFont val="Arial"/>
        <family val="2"/>
      </rPr>
      <t>OCHF</t>
    </r>
    <r>
      <rPr>
        <vertAlign val="subscript"/>
        <sz val="10"/>
        <rFont val="Arial"/>
        <family val="2"/>
      </rPr>
      <t>2</t>
    </r>
  </si>
  <si>
    <t>HFE-374pc2</t>
  </si>
  <si>
    <r>
      <t>CHF</t>
    </r>
    <r>
      <rPr>
        <vertAlign val="subscript"/>
        <sz val="10"/>
        <rFont val="Arial"/>
        <family val="2"/>
      </rPr>
      <t>2</t>
    </r>
    <r>
      <rPr>
        <sz val="10"/>
        <rFont val="Arial"/>
        <family val="2"/>
      </rPr>
      <t>CF</t>
    </r>
    <r>
      <rPr>
        <vertAlign val="subscript"/>
        <sz val="10"/>
        <rFont val="Arial"/>
        <family val="2"/>
      </rPr>
      <t>2</t>
    </r>
    <r>
      <rPr>
        <sz val="10"/>
        <rFont val="Arial"/>
        <family val="2"/>
      </rPr>
      <t>OCH</t>
    </r>
    <r>
      <rPr>
        <vertAlign val="subscript"/>
        <sz val="10"/>
        <rFont val="Arial"/>
        <family val="2"/>
      </rPr>
      <t>2</t>
    </r>
    <r>
      <rPr>
        <sz val="10"/>
        <rFont val="Arial"/>
        <family val="2"/>
      </rPr>
      <t>CH</t>
    </r>
    <r>
      <rPr>
        <vertAlign val="subscript"/>
        <sz val="10"/>
        <rFont val="Arial"/>
        <family val="2"/>
      </rPr>
      <t>3</t>
    </r>
  </si>
  <si>
    <t>HFE-449sl (HFE-7100)</t>
  </si>
  <si>
    <r>
      <t>C</t>
    </r>
    <r>
      <rPr>
        <vertAlign val="subscript"/>
        <sz val="10"/>
        <rFont val="Arial"/>
        <family val="2"/>
      </rPr>
      <t>4</t>
    </r>
    <r>
      <rPr>
        <sz val="10"/>
        <color theme="1"/>
        <rFont val="Arial"/>
        <family val="2"/>
      </rPr>
      <t>F</t>
    </r>
    <r>
      <rPr>
        <vertAlign val="subscript"/>
        <sz val="10"/>
        <rFont val="Arial"/>
        <family val="2"/>
      </rPr>
      <t>9</t>
    </r>
    <r>
      <rPr>
        <sz val="10"/>
        <color theme="1"/>
        <rFont val="Arial"/>
        <family val="2"/>
      </rPr>
      <t>OCH</t>
    </r>
    <r>
      <rPr>
        <vertAlign val="subscript"/>
        <sz val="10"/>
        <rFont val="Arial"/>
        <family val="2"/>
      </rPr>
      <t>3</t>
    </r>
  </si>
  <si>
    <t>HFE-569sf2 (HFE-7200)</t>
  </si>
  <si>
    <r>
      <t>C</t>
    </r>
    <r>
      <rPr>
        <vertAlign val="subscript"/>
        <sz val="10"/>
        <rFont val="Arial"/>
        <family val="2"/>
      </rPr>
      <t>4</t>
    </r>
    <r>
      <rPr>
        <sz val="10"/>
        <color theme="1"/>
        <rFont val="Arial"/>
        <family val="2"/>
      </rPr>
      <t>F</t>
    </r>
    <r>
      <rPr>
        <vertAlign val="subscript"/>
        <sz val="10"/>
        <rFont val="Arial"/>
        <family val="2"/>
      </rPr>
      <t>9</t>
    </r>
    <r>
      <rPr>
        <sz val="10"/>
        <color theme="1"/>
        <rFont val="Arial"/>
        <family val="2"/>
      </rPr>
      <t>OC</t>
    </r>
    <r>
      <rPr>
        <vertAlign val="subscript"/>
        <sz val="10"/>
        <rFont val="Arial"/>
        <family val="2"/>
      </rPr>
      <t>2</t>
    </r>
    <r>
      <rPr>
        <sz val="10"/>
        <color theme="1"/>
        <rFont val="Arial"/>
        <family val="2"/>
      </rPr>
      <t>H</t>
    </r>
    <r>
      <rPr>
        <vertAlign val="subscript"/>
        <sz val="10"/>
        <rFont val="Arial"/>
        <family val="2"/>
      </rPr>
      <t>5</t>
    </r>
  </si>
  <si>
    <t>HFE-43-10pccc124 (H-Galden 1040x)</t>
  </si>
  <si>
    <r>
      <t>CHF</t>
    </r>
    <r>
      <rPr>
        <vertAlign val="subscript"/>
        <sz val="10"/>
        <rFont val="Arial"/>
        <family val="2"/>
      </rPr>
      <t>2</t>
    </r>
    <r>
      <rPr>
        <sz val="10"/>
        <color theme="1"/>
        <rFont val="Arial"/>
        <family val="2"/>
      </rPr>
      <t>OCF</t>
    </r>
    <r>
      <rPr>
        <vertAlign val="subscript"/>
        <sz val="10"/>
        <rFont val="Arial"/>
        <family val="2"/>
      </rPr>
      <t>2</t>
    </r>
    <r>
      <rPr>
        <sz val="10"/>
        <color theme="1"/>
        <rFont val="Arial"/>
        <family val="2"/>
      </rPr>
      <t>OC</t>
    </r>
    <r>
      <rPr>
        <vertAlign val="subscript"/>
        <sz val="10"/>
        <rFont val="Arial"/>
        <family val="2"/>
      </rPr>
      <t>2</t>
    </r>
    <r>
      <rPr>
        <sz val="10"/>
        <color theme="1"/>
        <rFont val="Arial"/>
        <family val="2"/>
      </rPr>
      <t>F</t>
    </r>
    <r>
      <rPr>
        <vertAlign val="subscript"/>
        <sz val="10"/>
        <rFont val="Arial"/>
        <family val="2"/>
      </rPr>
      <t>4</t>
    </r>
    <r>
      <rPr>
        <sz val="10"/>
        <color theme="1"/>
        <rFont val="Arial"/>
        <family val="2"/>
      </rPr>
      <t>OCHF</t>
    </r>
    <r>
      <rPr>
        <vertAlign val="subscript"/>
        <sz val="10"/>
        <rFont val="Arial"/>
        <family val="2"/>
      </rPr>
      <t>2</t>
    </r>
  </si>
  <si>
    <t>HFE-236ca12 (HG-10)</t>
  </si>
  <si>
    <r>
      <t>CHF</t>
    </r>
    <r>
      <rPr>
        <vertAlign val="subscript"/>
        <sz val="10"/>
        <rFont val="Arial"/>
        <family val="2"/>
      </rPr>
      <t>2</t>
    </r>
    <r>
      <rPr>
        <sz val="10"/>
        <color theme="1"/>
        <rFont val="Arial"/>
        <family val="2"/>
      </rPr>
      <t>OCF</t>
    </r>
    <r>
      <rPr>
        <vertAlign val="subscript"/>
        <sz val="10"/>
        <rFont val="Arial"/>
        <family val="2"/>
      </rPr>
      <t>2</t>
    </r>
    <r>
      <rPr>
        <sz val="10"/>
        <color theme="1"/>
        <rFont val="Arial"/>
        <family val="2"/>
      </rPr>
      <t>OCHF</t>
    </r>
    <r>
      <rPr>
        <vertAlign val="subscript"/>
        <sz val="10"/>
        <rFont val="Arial"/>
        <family val="2"/>
      </rPr>
      <t>2</t>
    </r>
  </si>
  <si>
    <t>HFE-338pcc13 (HG-01)</t>
  </si>
  <si>
    <r>
      <t>CHF</t>
    </r>
    <r>
      <rPr>
        <vertAlign val="subscript"/>
        <sz val="10"/>
        <rFont val="Arial"/>
        <family val="2"/>
      </rPr>
      <t>2</t>
    </r>
    <r>
      <rPr>
        <sz val="10"/>
        <color theme="1"/>
        <rFont val="Arial"/>
        <family val="2"/>
      </rPr>
      <t>OCF</t>
    </r>
    <r>
      <rPr>
        <vertAlign val="subscript"/>
        <sz val="10"/>
        <rFont val="Arial"/>
        <family val="2"/>
      </rPr>
      <t>2</t>
    </r>
    <r>
      <rPr>
        <sz val="10"/>
        <color theme="1"/>
        <rFont val="Arial"/>
        <family val="2"/>
      </rPr>
      <t>CF</t>
    </r>
    <r>
      <rPr>
        <vertAlign val="subscript"/>
        <sz val="10"/>
        <rFont val="Arial"/>
        <family val="2"/>
      </rPr>
      <t>2</t>
    </r>
    <r>
      <rPr>
        <sz val="10"/>
        <color theme="1"/>
        <rFont val="Arial"/>
        <family val="2"/>
      </rPr>
      <t>OCHF</t>
    </r>
    <r>
      <rPr>
        <vertAlign val="subscript"/>
        <sz val="10"/>
        <rFont val="Arial"/>
        <family val="2"/>
      </rPr>
      <t>2</t>
    </r>
  </si>
  <si>
    <t>Perfluoropolyethers</t>
  </si>
  <si>
    <t>PFPMIE (perfluoropolymethylisopropyl ether)</t>
  </si>
  <si>
    <r>
      <t>CF</t>
    </r>
    <r>
      <rPr>
        <vertAlign val="subscript"/>
        <sz val="10"/>
        <rFont val="Arial"/>
        <family val="2"/>
      </rPr>
      <t>3</t>
    </r>
    <r>
      <rPr>
        <sz val="10"/>
        <color theme="1"/>
        <rFont val="Arial"/>
        <family val="2"/>
      </rPr>
      <t>OCF(CF</t>
    </r>
    <r>
      <rPr>
        <vertAlign val="subscript"/>
        <sz val="10"/>
        <rFont val="Arial"/>
        <family val="2"/>
      </rPr>
      <t>3</t>
    </r>
    <r>
      <rPr>
        <sz val="10"/>
        <color theme="1"/>
        <rFont val="Arial"/>
        <family val="2"/>
      </rPr>
      <t>)CF</t>
    </r>
    <r>
      <rPr>
        <vertAlign val="subscript"/>
        <sz val="10"/>
        <rFont val="Arial"/>
        <family val="2"/>
      </rPr>
      <t>2</t>
    </r>
    <r>
      <rPr>
        <sz val="10"/>
        <color theme="1"/>
        <rFont val="Arial"/>
        <family val="2"/>
      </rPr>
      <t>OCF</t>
    </r>
    <r>
      <rPr>
        <vertAlign val="subscript"/>
        <sz val="10"/>
        <rFont val="Arial"/>
        <family val="2"/>
      </rPr>
      <t>2</t>
    </r>
    <r>
      <rPr>
        <sz val="10"/>
        <color theme="1"/>
        <rFont val="Arial"/>
        <family val="2"/>
      </rPr>
      <t>OCF</t>
    </r>
    <r>
      <rPr>
        <vertAlign val="subscript"/>
        <sz val="10"/>
        <rFont val="Arial"/>
        <family val="2"/>
      </rPr>
      <t>3</t>
    </r>
  </si>
  <si>
    <t>Hydrocarbons and other compounds - Direct Effects</t>
  </si>
  <si>
    <t>Dimethylether</t>
  </si>
  <si>
    <r>
      <t>CH</t>
    </r>
    <r>
      <rPr>
        <vertAlign val="subscript"/>
        <sz val="10"/>
        <rFont val="Arial"/>
        <family val="2"/>
      </rPr>
      <t>3</t>
    </r>
    <r>
      <rPr>
        <sz val="10"/>
        <color theme="1"/>
        <rFont val="Arial"/>
        <family val="2"/>
      </rPr>
      <t>OCH</t>
    </r>
    <r>
      <rPr>
        <vertAlign val="subscript"/>
        <sz val="10"/>
        <rFont val="Arial"/>
        <family val="2"/>
      </rPr>
      <t>3</t>
    </r>
  </si>
  <si>
    <t>Methylene chloride</t>
  </si>
  <si>
    <r>
      <t>CH</t>
    </r>
    <r>
      <rPr>
        <vertAlign val="subscript"/>
        <sz val="10"/>
        <rFont val="Arial"/>
        <family val="2"/>
      </rPr>
      <t>2</t>
    </r>
    <r>
      <rPr>
        <sz val="10"/>
        <color theme="1"/>
        <rFont val="Arial"/>
        <family val="2"/>
      </rPr>
      <t>Cl</t>
    </r>
    <r>
      <rPr>
        <vertAlign val="subscript"/>
        <sz val="10"/>
        <rFont val="Arial"/>
        <family val="2"/>
      </rPr>
      <t>2</t>
    </r>
  </si>
  <si>
    <t>Methyl chloride</t>
  </si>
  <si>
    <r>
      <t>CH</t>
    </r>
    <r>
      <rPr>
        <vertAlign val="subscript"/>
        <sz val="10"/>
        <rFont val="Arial"/>
        <family val="2"/>
      </rPr>
      <t>3</t>
    </r>
    <r>
      <rPr>
        <sz val="10"/>
        <color theme="1"/>
        <rFont val="Arial"/>
        <family val="2"/>
      </rPr>
      <t>Cl</t>
    </r>
  </si>
  <si>
    <t>Trichloromethane (Chloroform)</t>
  </si>
  <si>
    <r>
      <t>CHCl</t>
    </r>
    <r>
      <rPr>
        <vertAlign val="subscript"/>
        <sz val="10"/>
        <rFont val="Arial"/>
        <family val="2"/>
      </rPr>
      <t>3</t>
    </r>
  </si>
  <si>
    <t>Dibromomethane</t>
  </si>
  <si>
    <r>
      <t>CH</t>
    </r>
    <r>
      <rPr>
        <vertAlign val="subscript"/>
        <sz val="10"/>
        <rFont val="Arial"/>
        <family val="2"/>
      </rPr>
      <t>2</t>
    </r>
    <r>
      <rPr>
        <sz val="10"/>
        <rFont val="Arial"/>
        <family val="2"/>
      </rPr>
      <t>Br</t>
    </r>
    <r>
      <rPr>
        <vertAlign val="subscript"/>
        <sz val="10"/>
        <rFont val="Arial"/>
        <family val="2"/>
      </rPr>
      <t>2</t>
    </r>
  </si>
  <si>
    <t>Bromodifluoromethane</t>
  </si>
  <si>
    <r>
      <t>CHBrF</t>
    </r>
    <r>
      <rPr>
        <vertAlign val="subscript"/>
        <sz val="10"/>
        <rFont val="Arial"/>
        <family val="2"/>
      </rPr>
      <t>2</t>
    </r>
  </si>
  <si>
    <t>Trifluoroiodomethane</t>
  </si>
  <si>
    <r>
      <t>CF</t>
    </r>
    <r>
      <rPr>
        <vertAlign val="subscript"/>
        <sz val="10"/>
        <rFont val="Arial"/>
        <family val="2"/>
      </rPr>
      <t>3</t>
    </r>
    <r>
      <rPr>
        <sz val="10"/>
        <rFont val="Arial"/>
        <family val="2"/>
      </rPr>
      <t>I</t>
    </r>
  </si>
  <si>
    <t>1,1,1,3,3,3-hexafluoro-2-propanol</t>
  </si>
  <si>
    <r>
      <t>(CF</t>
    </r>
    <r>
      <rPr>
        <vertAlign val="subscript"/>
        <sz val="10"/>
        <rFont val="Arial"/>
        <family val="2"/>
      </rPr>
      <t>3</t>
    </r>
    <r>
      <rPr>
        <sz val="10"/>
        <rFont val="Arial"/>
        <family val="2"/>
      </rPr>
      <t>)</t>
    </r>
    <r>
      <rPr>
        <vertAlign val="subscript"/>
        <sz val="10"/>
        <rFont val="Arial"/>
        <family val="2"/>
      </rPr>
      <t>2</t>
    </r>
    <r>
      <rPr>
        <sz val="10"/>
        <rFont val="Arial"/>
        <family val="2"/>
      </rPr>
      <t>CHOH</t>
    </r>
  </si>
  <si>
    <t>2,2,2-trifluoroethanol</t>
  </si>
  <si>
    <r>
      <t>(CF</t>
    </r>
    <r>
      <rPr>
        <vertAlign val="subscript"/>
        <sz val="10"/>
        <rFont val="Arial"/>
        <family val="2"/>
      </rPr>
      <t>3</t>
    </r>
    <r>
      <rPr>
        <sz val="10"/>
        <rFont val="Arial"/>
        <family val="2"/>
      </rPr>
      <t>)CH</t>
    </r>
    <r>
      <rPr>
        <vertAlign val="subscript"/>
        <sz val="10"/>
        <rFont val="Arial"/>
        <family val="2"/>
      </rPr>
      <t>2</t>
    </r>
    <r>
      <rPr>
        <sz val="10"/>
        <rFont val="Arial"/>
        <family val="2"/>
      </rPr>
      <t>OH</t>
    </r>
  </si>
  <si>
    <t>2,2,3,3,3-pentafluoro-1-propanol</t>
  </si>
  <si>
    <r>
      <t>CF</t>
    </r>
    <r>
      <rPr>
        <vertAlign val="subscript"/>
        <sz val="10"/>
        <rFont val="Arial"/>
        <family val="2"/>
      </rPr>
      <t>3</t>
    </r>
    <r>
      <rPr>
        <sz val="10"/>
        <rFont val="Arial"/>
        <family val="2"/>
      </rPr>
      <t>CF</t>
    </r>
    <r>
      <rPr>
        <vertAlign val="subscript"/>
        <sz val="10"/>
        <rFont val="Arial"/>
        <family val="2"/>
      </rPr>
      <t>2</t>
    </r>
    <r>
      <rPr>
        <sz val="10"/>
        <rFont val="Arial"/>
        <family val="2"/>
      </rPr>
      <t>CH</t>
    </r>
    <r>
      <rPr>
        <vertAlign val="subscript"/>
        <sz val="10"/>
        <rFont val="Arial"/>
        <family val="2"/>
      </rPr>
      <t>2</t>
    </r>
    <r>
      <rPr>
        <sz val="10"/>
        <rFont val="Arial"/>
        <family val="2"/>
      </rPr>
      <t>OH</t>
    </r>
  </si>
  <si>
    <t>Trifluoromethyl sulphur pentafluoride</t>
  </si>
  <si>
    <r>
      <t>SF</t>
    </r>
    <r>
      <rPr>
        <vertAlign val="subscript"/>
        <sz val="10"/>
        <rFont val="Arial"/>
        <family val="2"/>
      </rPr>
      <t>5</t>
    </r>
    <r>
      <rPr>
        <sz val="10"/>
        <color theme="1"/>
        <rFont val="Arial"/>
        <family val="2"/>
      </rPr>
      <t>CF</t>
    </r>
    <r>
      <rPr>
        <vertAlign val="subscript"/>
        <sz val="10"/>
        <rFont val="Arial"/>
        <family val="2"/>
      </rPr>
      <t>3</t>
    </r>
  </si>
  <si>
    <t>Organic Compounds</t>
  </si>
  <si>
    <t xml:space="preserve">Ethane </t>
  </si>
  <si>
    <r>
      <t>C</t>
    </r>
    <r>
      <rPr>
        <vertAlign val="subscript"/>
        <sz val="10"/>
        <rFont val="Arial"/>
        <family val="2"/>
      </rPr>
      <t>2</t>
    </r>
    <r>
      <rPr>
        <sz val="10"/>
        <color theme="1"/>
        <rFont val="Arial"/>
        <family val="2"/>
      </rPr>
      <t>H</t>
    </r>
    <r>
      <rPr>
        <vertAlign val="subscript"/>
        <sz val="10"/>
        <rFont val="Arial"/>
        <family val="2"/>
      </rPr>
      <t>6</t>
    </r>
  </si>
  <si>
    <r>
      <t>C</t>
    </r>
    <r>
      <rPr>
        <vertAlign val="subscript"/>
        <sz val="10"/>
        <rFont val="Arial"/>
        <family val="2"/>
      </rPr>
      <t>3</t>
    </r>
    <r>
      <rPr>
        <sz val="10"/>
        <color theme="1"/>
        <rFont val="Arial"/>
        <family val="2"/>
      </rPr>
      <t>H</t>
    </r>
    <r>
      <rPr>
        <vertAlign val="subscript"/>
        <sz val="10"/>
        <rFont val="Arial"/>
        <family val="2"/>
      </rPr>
      <t>8</t>
    </r>
  </si>
  <si>
    <r>
      <t>C</t>
    </r>
    <r>
      <rPr>
        <vertAlign val="subscript"/>
        <sz val="10"/>
        <rFont val="Arial"/>
        <family val="2"/>
      </rPr>
      <t>4</t>
    </r>
    <r>
      <rPr>
        <sz val="10"/>
        <color theme="1"/>
        <rFont val="Arial"/>
        <family val="2"/>
      </rPr>
      <t>H</t>
    </r>
    <r>
      <rPr>
        <vertAlign val="subscript"/>
        <sz val="10"/>
        <rFont val="Arial"/>
        <family val="2"/>
      </rPr>
      <t>10</t>
    </r>
  </si>
  <si>
    <r>
      <t>C</t>
    </r>
    <r>
      <rPr>
        <vertAlign val="subscript"/>
        <sz val="10"/>
        <rFont val="Arial"/>
        <family val="2"/>
      </rPr>
      <t>2</t>
    </r>
    <r>
      <rPr>
        <sz val="10"/>
        <color theme="1"/>
        <rFont val="Arial"/>
        <family val="2"/>
      </rPr>
      <t>H</t>
    </r>
    <r>
      <rPr>
        <vertAlign val="subscript"/>
        <sz val="10"/>
        <rFont val="Arial"/>
        <family val="2"/>
      </rPr>
      <t>4</t>
    </r>
  </si>
  <si>
    <r>
      <t>C</t>
    </r>
    <r>
      <rPr>
        <vertAlign val="subscript"/>
        <sz val="10"/>
        <rFont val="Arial"/>
        <family val="2"/>
      </rPr>
      <t>3</t>
    </r>
    <r>
      <rPr>
        <sz val="10"/>
        <color theme="1"/>
        <rFont val="Arial"/>
        <family val="2"/>
      </rPr>
      <t>H</t>
    </r>
    <r>
      <rPr>
        <vertAlign val="subscript"/>
        <sz val="10"/>
        <rFont val="Arial"/>
        <family val="2"/>
      </rPr>
      <t>6</t>
    </r>
  </si>
  <si>
    <t>Toluene</t>
  </si>
  <si>
    <r>
      <t>C</t>
    </r>
    <r>
      <rPr>
        <vertAlign val="subscript"/>
        <sz val="10"/>
        <rFont val="Arial"/>
        <family val="2"/>
      </rPr>
      <t>7</t>
    </r>
    <r>
      <rPr>
        <sz val="10"/>
        <color theme="1"/>
        <rFont val="Arial"/>
        <family val="2"/>
      </rPr>
      <t>H</t>
    </r>
    <r>
      <rPr>
        <vertAlign val="subscript"/>
        <sz val="10"/>
        <rFont val="Arial"/>
        <family val="2"/>
      </rPr>
      <t>8</t>
    </r>
  </si>
  <si>
    <t>Isoprene</t>
  </si>
  <si>
    <r>
      <t>C</t>
    </r>
    <r>
      <rPr>
        <vertAlign val="subscript"/>
        <sz val="10"/>
        <rFont val="Arial"/>
        <family val="2"/>
      </rPr>
      <t>5</t>
    </r>
    <r>
      <rPr>
        <sz val="10"/>
        <color theme="1"/>
        <rFont val="Arial"/>
        <family val="2"/>
      </rPr>
      <t>H</t>
    </r>
    <r>
      <rPr>
        <vertAlign val="subscript"/>
        <sz val="10"/>
        <rFont val="Arial"/>
        <family val="2"/>
      </rPr>
      <t>8</t>
    </r>
  </si>
  <si>
    <t>Methanol</t>
  </si>
  <si>
    <r>
      <t>CH</t>
    </r>
    <r>
      <rPr>
        <vertAlign val="subscript"/>
        <sz val="10"/>
        <rFont val="Arial"/>
        <family val="2"/>
      </rPr>
      <t>3</t>
    </r>
    <r>
      <rPr>
        <sz val="10"/>
        <color theme="1"/>
        <rFont val="Arial"/>
        <family val="2"/>
      </rPr>
      <t>OH</t>
    </r>
  </si>
  <si>
    <t>Acetaldehyde</t>
  </si>
  <si>
    <r>
      <t>CH</t>
    </r>
    <r>
      <rPr>
        <vertAlign val="subscript"/>
        <sz val="10"/>
        <rFont val="Arial"/>
        <family val="2"/>
      </rPr>
      <t>3</t>
    </r>
    <r>
      <rPr>
        <sz val="10"/>
        <color theme="1"/>
        <rFont val="Arial"/>
        <family val="2"/>
      </rPr>
      <t>CHO</t>
    </r>
  </si>
  <si>
    <t>Acetone</t>
  </si>
  <si>
    <r>
      <t>CH</t>
    </r>
    <r>
      <rPr>
        <vertAlign val="subscript"/>
        <sz val="10"/>
        <rFont val="Arial"/>
        <family val="2"/>
      </rPr>
      <t>3</t>
    </r>
    <r>
      <rPr>
        <sz val="10"/>
        <color theme="1"/>
        <rFont val="Arial"/>
        <family val="2"/>
      </rPr>
      <t>COCH</t>
    </r>
    <r>
      <rPr>
        <vertAlign val="subscript"/>
        <sz val="10"/>
        <rFont val="Arial"/>
        <family val="2"/>
      </rPr>
      <t>3</t>
    </r>
  </si>
  <si>
    <t>Notes:</t>
  </si>
  <si>
    <t>* Refrigerant blend GWPs are calculated using a weighted average from the blend composition and the IPCC GWP values. The blend compositions are from ASHRAE Standard 34-2013.</t>
  </si>
  <si>
    <t>**It is customary to exclude CFCs, HCFCs, and halons from GHG inventories because they are regulated and are being phased out under the Montreal Protocol.  These ozone depleting substances may be documented as memo items reported as total release of gases, but no GWPs are applied and they do not contribute to the CO2e emissions inventory.</t>
  </si>
  <si>
    <t>***Based on centrifugal chillers (70% of installed capacity) using: R-11 or R-123 - 65%; R-12 or R-134a – 12%; R-22 – 23% (Sand, J., S. Fisher, V. Baxter, “Energy and Global Warming Impacts of HFC Refrigerants and Emerging Technologies,” ORNL 1997.)  Could also conservatively assume the refrigerant type to be HFC-134a. (The World Bank Group, "Greenhouse Gas Emissions Inventory Management Plan for Internal Business Operations 2014," 2015.)  If equipment type is known, see Tables 2 and 4 on Refrigerant Factors tab for commonly used refrigerants.</t>
  </si>
  <si>
    <t>Sources:</t>
  </si>
  <si>
    <t xml:space="preserve">-ASHRAE Standard 34 / World Resources Institute, "Calculating HFC and PFC Emissions from the Manufacturing, Servicing, and/or Disposal of Refrigeration and Air-Conditioning Equipment, Version 1.0."  January 2005.  (http://www.ghgprotocol.org/calculation-tools/refrigeration)
</t>
  </si>
  <si>
    <t>-The Climate Registry, "2015 Climate Registry Default Emission Factors," Tables B.1, B.2 (http://www.theclimateregistry.org/wp-content/uploads/2015/04/2015-TCR-Default-EF-April-2015-FINAL.pdf)</t>
  </si>
  <si>
    <t>Includes fuel consumption at a facility to produce electricity, steam, heat, or power. The combustion of fossil fuels by natural gas boilers, diesel generators and other equipment emits carbon dioxide, methane, and nitrous oxide into the atmosphere.</t>
  </si>
  <si>
    <t>Data required: 
1. Fuel type 
2. Fuel Usage 
3. Units for usage (volume or weight)</t>
  </si>
  <si>
    <r>
      <t xml:space="preserve">Emissions </t>
    </r>
    <r>
      <rPr>
        <b/>
        <vertAlign val="subscript"/>
        <sz val="14"/>
        <color theme="1"/>
        <rFont val="Calibri"/>
        <family val="2"/>
        <scheme val="minor"/>
      </rPr>
      <t>GHG, fuel</t>
    </r>
    <r>
      <rPr>
        <b/>
        <sz val="14"/>
        <color theme="1"/>
        <rFont val="Calibri"/>
        <family val="2"/>
        <scheme val="minor"/>
      </rPr>
      <t xml:space="preserve">     =   Fuel Consumption </t>
    </r>
    <r>
      <rPr>
        <b/>
        <vertAlign val="subscript"/>
        <sz val="14"/>
        <color theme="1"/>
        <rFont val="Calibri"/>
        <family val="2"/>
        <scheme val="minor"/>
      </rPr>
      <t>fuel</t>
    </r>
    <r>
      <rPr>
        <b/>
        <sz val="14"/>
        <color theme="1"/>
        <rFont val="Calibri"/>
        <family val="2"/>
        <scheme val="minor"/>
      </rPr>
      <t xml:space="preserve">   *    Emission Factor </t>
    </r>
    <r>
      <rPr>
        <b/>
        <vertAlign val="subscript"/>
        <sz val="14"/>
        <color theme="1"/>
        <rFont val="Calibri"/>
        <family val="2"/>
        <scheme val="minor"/>
      </rPr>
      <t>GHG, fuel</t>
    </r>
  </si>
  <si>
    <t>User supplied data</t>
  </si>
  <si>
    <r>
      <t>GHG Emissions (tonnes CO</t>
    </r>
    <r>
      <rPr>
        <b/>
        <vertAlign val="subscript"/>
        <sz val="12"/>
        <color theme="0"/>
        <rFont val="Calibri"/>
        <family val="2"/>
        <scheme val="minor"/>
      </rPr>
      <t>2</t>
    </r>
    <r>
      <rPr>
        <b/>
        <sz val="12"/>
        <color theme="0"/>
        <rFont val="Calibri"/>
        <family val="2"/>
        <scheme val="minor"/>
      </rPr>
      <t>e)</t>
    </r>
  </si>
  <si>
    <t>Emission Factor</t>
  </si>
  <si>
    <t>Custom Emission Factors?</t>
  </si>
  <si>
    <t>Fuel</t>
  </si>
  <si>
    <t>Amount of fuel</t>
  </si>
  <si>
    <t>Units
(e.g., kg or kWh)</t>
  </si>
  <si>
    <r>
      <t>CO</t>
    </r>
    <r>
      <rPr>
        <vertAlign val="subscript"/>
        <sz val="12"/>
        <color theme="0"/>
        <rFont val="Calibri"/>
        <family val="2"/>
        <scheme val="minor"/>
      </rPr>
      <t>2</t>
    </r>
    <r>
      <rPr>
        <sz val="12"/>
        <color theme="0"/>
        <rFont val="Calibri"/>
        <family val="2"/>
        <scheme val="minor"/>
      </rPr>
      <t xml:space="preserve"> (tonnes)</t>
    </r>
  </si>
  <si>
    <r>
      <t>CH</t>
    </r>
    <r>
      <rPr>
        <vertAlign val="subscript"/>
        <sz val="12"/>
        <color theme="0"/>
        <rFont val="Calibri"/>
        <family val="2"/>
        <scheme val="minor"/>
      </rPr>
      <t>4</t>
    </r>
    <r>
      <rPr>
        <sz val="12"/>
        <color theme="0"/>
        <rFont val="Calibri"/>
        <family val="2"/>
        <scheme val="minor"/>
      </rPr>
      <t xml:space="preserve"> (tonnes)</t>
    </r>
  </si>
  <si>
    <r>
      <t>N</t>
    </r>
    <r>
      <rPr>
        <vertAlign val="subscript"/>
        <sz val="12"/>
        <color theme="0"/>
        <rFont val="Calibri"/>
        <family val="2"/>
        <scheme val="minor"/>
      </rPr>
      <t>2</t>
    </r>
    <r>
      <rPr>
        <sz val="12"/>
        <color theme="0"/>
        <rFont val="Calibri"/>
        <family val="2"/>
        <scheme val="minor"/>
      </rPr>
      <t>O (tonnes)</t>
    </r>
  </si>
  <si>
    <r>
      <t>CO</t>
    </r>
    <r>
      <rPr>
        <b/>
        <vertAlign val="subscript"/>
        <sz val="12"/>
        <color theme="0"/>
        <rFont val="Calibri"/>
        <family val="2"/>
        <scheme val="minor"/>
      </rPr>
      <t>2</t>
    </r>
    <r>
      <rPr>
        <b/>
        <sz val="12"/>
        <color theme="0"/>
        <rFont val="Calibri"/>
        <family val="2"/>
        <scheme val="minor"/>
      </rPr>
      <t>e (tonnes)</t>
    </r>
  </si>
  <si>
    <r>
      <t>Biofuel CO</t>
    </r>
    <r>
      <rPr>
        <b/>
        <vertAlign val="subscript"/>
        <sz val="12"/>
        <color theme="0"/>
        <rFont val="Calibri"/>
        <family val="2"/>
        <scheme val="minor"/>
      </rPr>
      <t>2</t>
    </r>
    <r>
      <rPr>
        <b/>
        <sz val="12"/>
        <color theme="0"/>
        <rFont val="Calibri"/>
        <family val="2"/>
        <scheme val="minor"/>
      </rPr>
      <t xml:space="preserve">
(tonnes)</t>
    </r>
  </si>
  <si>
    <r>
      <t>EF (kgCO</t>
    </r>
    <r>
      <rPr>
        <vertAlign val="subscript"/>
        <sz val="12"/>
        <color theme="0"/>
        <rFont val="Calibri"/>
        <family val="2"/>
        <scheme val="minor"/>
      </rPr>
      <t>2</t>
    </r>
    <r>
      <rPr>
        <sz val="12"/>
        <color theme="0"/>
        <rFont val="Calibri"/>
        <family val="2"/>
        <scheme val="minor"/>
      </rPr>
      <t>e/unit)</t>
    </r>
  </si>
  <si>
    <t>No</t>
  </si>
  <si>
    <r>
      <t>Total GHG emissions from fossil fuels (tonnes CO</t>
    </r>
    <r>
      <rPr>
        <vertAlign val="subscript"/>
        <sz val="12"/>
        <color theme="0"/>
        <rFont val="Arial"/>
        <family val="2"/>
      </rPr>
      <t>2</t>
    </r>
    <r>
      <rPr>
        <sz val="12"/>
        <color theme="0"/>
        <rFont val="Arial"/>
        <family val="2"/>
      </rPr>
      <t>e):</t>
    </r>
  </si>
  <si>
    <r>
      <t>Total CO</t>
    </r>
    <r>
      <rPr>
        <vertAlign val="subscript"/>
        <sz val="12"/>
        <color theme="0"/>
        <rFont val="Arial"/>
        <family val="2"/>
      </rPr>
      <t>2</t>
    </r>
    <r>
      <rPr>
        <sz val="12"/>
        <color theme="0"/>
        <rFont val="Arial"/>
        <family val="2"/>
      </rPr>
      <t xml:space="preserve"> emissions from biomass (tonnes):</t>
    </r>
  </si>
  <si>
    <t>Includes fuel consumption by vehicles that are owned or leased by the company. Combustion of fossil fuels in vehicles (including cars, trucks, planes, and boats) emits carbon dioxide, methane, and nitrous oxide into the atmosphere.</t>
  </si>
  <si>
    <t>Data required:
Two of the following:
1. Total fuel used by each vehicle
2. Total distance traveled by each vehicle
3. Fuel efficiency of each vehicle</t>
  </si>
  <si>
    <t>● This calculation uses EPA emission factors by default</t>
  </si>
  <si>
    <t>● Activity type can either be in the form of fuel used, distance traveled, or custom emission factors</t>
  </si>
  <si>
    <t>Description</t>
  </si>
  <si>
    <t>Fuel Source</t>
  </si>
  <si>
    <t>GHG Emissions (tonnes CO2e)</t>
  </si>
  <si>
    <t>Activity Amount</t>
  </si>
  <si>
    <t>Final Activity</t>
  </si>
  <si>
    <t>Unit of Fuel Amount</t>
  </si>
  <si>
    <r>
      <t>CO</t>
    </r>
    <r>
      <rPr>
        <vertAlign val="subscript"/>
        <sz val="12"/>
        <color theme="0"/>
        <rFont val="Calibri"/>
        <family val="2"/>
        <scheme val="minor"/>
      </rPr>
      <t>2</t>
    </r>
    <r>
      <rPr>
        <sz val="12"/>
        <color theme="0"/>
        <rFont val="Calibri"/>
        <family val="2"/>
        <scheme val="minor"/>
      </rPr>
      <t>e (tonnes)</t>
    </r>
  </si>
  <si>
    <r>
      <t>Biofuel CO</t>
    </r>
    <r>
      <rPr>
        <vertAlign val="subscript"/>
        <sz val="12"/>
        <color theme="0"/>
        <rFont val="Calibri"/>
        <family val="2"/>
        <scheme val="minor"/>
      </rPr>
      <t>2</t>
    </r>
    <r>
      <rPr>
        <sz val="12"/>
        <color theme="0"/>
        <rFont val="Calibri"/>
        <family val="2"/>
        <scheme val="minor"/>
      </rPr>
      <t xml:space="preserve">
(tonnes)</t>
    </r>
  </si>
  <si>
    <t>Distance Activity</t>
  </si>
  <si>
    <t>Custom emission factor</t>
  </si>
  <si>
    <t>Fuel Use</t>
  </si>
  <si>
    <t>L</t>
  </si>
  <si>
    <r>
      <t>Total GHG emissions from fossil fuels (tonnes CO</t>
    </r>
    <r>
      <rPr>
        <vertAlign val="subscript"/>
        <sz val="12"/>
        <color theme="0"/>
        <rFont val="Calibri"/>
        <family val="2"/>
        <scheme val="minor"/>
      </rPr>
      <t>2</t>
    </r>
    <r>
      <rPr>
        <sz val="12"/>
        <color theme="0"/>
        <rFont val="Calibri"/>
        <family val="2"/>
        <scheme val="minor"/>
      </rPr>
      <t>e):</t>
    </r>
  </si>
  <si>
    <r>
      <t>Total CO</t>
    </r>
    <r>
      <rPr>
        <vertAlign val="subscript"/>
        <sz val="12"/>
        <color theme="0"/>
        <rFont val="Calibri"/>
        <family val="2"/>
        <scheme val="minor"/>
      </rPr>
      <t>2</t>
    </r>
    <r>
      <rPr>
        <sz val="12"/>
        <color theme="0"/>
        <rFont val="Calibri"/>
        <family val="2"/>
        <scheme val="minor"/>
      </rPr>
      <t xml:space="preserve"> emissions from biomass (tonnes):</t>
    </r>
  </si>
  <si>
    <t>S1 - Refrigerants and Fugitives</t>
  </si>
  <si>
    <t>Information</t>
  </si>
  <si>
    <t>Includes leaks in your company's HVAC system, chillers, refrigerators, etc., through which refrigerant gas escapes. Most refrigerant gases contribute to global warming when leaked into the atmosphere. The quantity of leaked gas is assumed to equal the amount of gas replaced in these systems by your HVAC or chiller maintenance company.
Records or invoices from your maintenance company show the amount and type of refrigerant gas (e.g., freon, R-22, HFC-134a , CFC-12) replaced in your building's systems.</t>
  </si>
  <si>
    <t>Process Description and Assumptions</t>
  </si>
  <si>
    <t>Refrigeration and air-conditioning is composed of many end-uses, including household refrigeration, domestic air conditioning and heat pumps, mobile air conditioning, chillers, retail food refrigeration, cold storage warehouses, refrigerated transport, industrial process refrigeration, and commercial unitary air conditioning systems. Historically, this sector has used various ozone-depleting substances (ODS) such as CFCs and HCFCs as refrigerants. These ODS are being phased out under the Montreal Protocol and are being replaced with HFCs and PFCs. 
HFC and PFC emissions from the refrigeration and air conditioning sector result from the manufacturing process, from leakage over the operational life of the equipment, and from disposal at the end of the useful life of the equipment. These gases have 100-year global warming potentials (GWP) 140 to 11,700 times that of carbon dioxide, so their potential impact on climate change can be significant (Table 1).  By the same token, any reductions of these gases can have a large potential benefit.
This protocol addresses emissions from manufacturing, operation, and disposal phases.</t>
  </si>
  <si>
    <t>Choosing Activity Data and Emission Factors</t>
  </si>
  <si>
    <t xml:space="preserve">HFC and PFC emissions can be estimated based on data readily available to manufacturers and users of refrigeration and air-conditioning equipment. This guideline contains a screening method (emissions factor based approach) and two quantification approaches, offering reporters a choice based on data availability and the level of accuracy required.
Equipment manufacturers and equipment users who maintain their own equipment are likely to find Approach 1-2, the "Sales-Based Approaches," the most accurate and easiest to use. This approach estimates HFC and PFC emissions based on the amount of refrigerant purchased and used by the equipment manufacturer or user. The approach requires data that should be available from entity purchase and service records, and tracks emissions from manufacturing, servicing, and disposal. Approach 1 is designed for equipment manufacturers, while Approach 2 is designed for equipment users.  
Equipment users who have contractors maintain their equipment may find it easier to use Approach 3, the "Life-Cycle Stage Approach." Those who have contractors service their equipment must obtain the required information from the contractor.  If notified in advance of the need for this information, the contractor should be able to provide it.  The Lifecycle Stage Approach provides a reasonable estimate of emissions from equipment, and tracks emissions from installation, servicing, and disposal.
</t>
  </si>
  <si>
    <t>Calculation Method</t>
  </si>
  <si>
    <t>Select the relevant calculation method</t>
  </si>
  <si>
    <t>Sales-Based Approach: Emissions from Manufacturing of Air Conditioning and Refrigeration Equipment</t>
  </si>
  <si>
    <t>Step A: Calculating Refrigerant Charged into Equipment</t>
  </si>
  <si>
    <t>Step 1</t>
  </si>
  <si>
    <t>Step 2</t>
  </si>
  <si>
    <t>Step 3</t>
  </si>
  <si>
    <t>Step 4</t>
  </si>
  <si>
    <t>Step 5</t>
  </si>
  <si>
    <t>Step 6</t>
  </si>
  <si>
    <t>Step 7</t>
  </si>
  <si>
    <t>Step 8</t>
  </si>
  <si>
    <t>Step 9</t>
  </si>
  <si>
    <t>Step 10</t>
  </si>
  <si>
    <t>Step 11</t>
  </si>
  <si>
    <t>Step 12</t>
  </si>
  <si>
    <t>Step 13</t>
  </si>
  <si>
    <t>Step A.1</t>
  </si>
  <si>
    <t>Step A.2</t>
  </si>
  <si>
    <t>Step A.3</t>
  </si>
  <si>
    <t>Step A.4</t>
  </si>
  <si>
    <t>Equipment and Refrigerant Type</t>
  </si>
  <si>
    <t>Decrease in Inventory (kilograms)</t>
  </si>
  <si>
    <t>Purchases/Acquisitions of Refrigerant (kilograms)</t>
  </si>
  <si>
    <t>Sales/Disbursements of Refrigerant (kilograms)</t>
  </si>
  <si>
    <t>Emissions</t>
  </si>
  <si>
    <t>Refrigerant charged into equipment (kilograms)</t>
  </si>
  <si>
    <t>B</t>
  </si>
  <si>
    <t>C</t>
  </si>
  <si>
    <t>D</t>
  </si>
  <si>
    <t>E</t>
  </si>
  <si>
    <t>F</t>
  </si>
  <si>
    <t>G</t>
  </si>
  <si>
    <t>H</t>
  </si>
  <si>
    <t>I</t>
  </si>
  <si>
    <t>J</t>
  </si>
  <si>
    <t>K</t>
  </si>
  <si>
    <t>W</t>
  </si>
  <si>
    <t>X</t>
  </si>
  <si>
    <t>Z</t>
  </si>
  <si>
    <t>P</t>
  </si>
  <si>
    <t>R</t>
  </si>
  <si>
    <t>Type of Air Conditioning and Refrigeration Equipment</t>
  </si>
  <si>
    <t>Refrigerant Used</t>
  </si>
  <si>
    <t>Refrigerant inventory (in storage, not equipment) at the beginning of the year</t>
  </si>
  <si>
    <t>Refrigerant inventory (in storage, not equipment) at the end of the year</t>
  </si>
  <si>
    <t>Refrigerant purchased from producers/ distributors</t>
  </si>
  <si>
    <t>Refrigerant returned by equipment users</t>
  </si>
  <si>
    <t>Refrigerant returned after off-site recycling or reclamation</t>
  </si>
  <si>
    <r>
      <t>Refrigerant charged into equipment*</t>
    </r>
    <r>
      <rPr>
        <sz val="8"/>
        <color theme="0"/>
        <rFont val="Calibri"/>
        <family val="2"/>
        <scheme val="minor"/>
      </rPr>
      <t xml:space="preserve">
If not known, see steps A1 to A4 for a default value</t>
    </r>
  </si>
  <si>
    <t>Refrigerant delivered to equipment users in containers</t>
  </si>
  <si>
    <t>Refrigerant returned to refrigerant producers</t>
  </si>
  <si>
    <t>Refrigerant sent off-site for recycling or reclamation</t>
  </si>
  <si>
    <t>Refrigerant sent off-site for destruction</t>
  </si>
  <si>
    <t>CO2-Equivalent Emissions (tonnes)</t>
  </si>
  <si>
    <t>Nameplate Capacity of Partially Charged Equipment</t>
  </si>
  <si>
    <t>Density or Pressure** of partical charge</t>
  </si>
  <si>
    <t>Density or Pressure** of full charge</t>
  </si>
  <si>
    <r>
      <t>Refrigerant charged into equipment</t>
    </r>
    <r>
      <rPr>
        <sz val="10"/>
        <color theme="0"/>
        <rFont val="Calibri"/>
        <family val="2"/>
        <scheme val="minor"/>
      </rPr>
      <t xml:space="preserve">
Z = WX/Y</t>
    </r>
  </si>
  <si>
    <r>
      <t>Decrease in Refrigerant Inventory</t>
    </r>
    <r>
      <rPr>
        <sz val="10"/>
        <rFont val="Calibri"/>
        <family val="2"/>
        <scheme val="minor"/>
      </rPr>
      <t xml:space="preserve">
E = C - D</t>
    </r>
  </si>
  <si>
    <r>
      <t>Total Refrigerant Purchases/ Acquisitions</t>
    </r>
    <r>
      <rPr>
        <sz val="10"/>
        <rFont val="Calibri"/>
        <family val="2"/>
        <scheme val="minor"/>
      </rPr>
      <t xml:space="preserve">
I = E + F + G</t>
    </r>
  </si>
  <si>
    <r>
      <t>Total Refrigerant Sales/Disbursements</t>
    </r>
    <r>
      <rPr>
        <sz val="10"/>
        <rFont val="Calibri"/>
        <family val="2"/>
        <scheme val="minor"/>
      </rPr>
      <t xml:space="preserve">
O = H + I + J + K + L</t>
    </r>
  </si>
  <si>
    <r>
      <t>Refrigerant Emissions (kilograms)</t>
    </r>
    <r>
      <rPr>
        <sz val="10"/>
        <rFont val="Calibri"/>
        <family val="2"/>
        <scheme val="minor"/>
      </rPr>
      <t xml:space="preserve">
P = E + I - O</t>
    </r>
  </si>
  <si>
    <t>Conversion Factor (tonnes/kilogram)</t>
  </si>
  <si>
    <r>
      <t>GWP of Refrigerant</t>
    </r>
    <r>
      <rPr>
        <sz val="10"/>
        <rFont val="Calibri"/>
        <family val="2"/>
        <scheme val="minor"/>
      </rPr>
      <t xml:space="preserve">
</t>
    </r>
  </si>
  <si>
    <r>
      <t>CO2-Equivalent Emissions (tonnes)</t>
    </r>
    <r>
      <rPr>
        <sz val="10"/>
        <rFont val="Calibri"/>
        <family val="2"/>
        <scheme val="minor"/>
      </rPr>
      <t xml:space="preserve">
S = P x Q x R</t>
    </r>
  </si>
  <si>
    <t>TOTAL MANUFACTURER EMISSIONS  ===&gt;</t>
  </si>
  <si>
    <t>Total Manufacturer Emissions (tonnes CO2e)</t>
  </si>
  <si>
    <t>TOTAL MANUFACTURER EMISSIONS</t>
  </si>
  <si>
    <t>Please insert more rows as necessary to list additional equipment or refrigerants; if using Step A (Columns W, X, Y and Z), add rows in the appropriate place there as well.</t>
  </si>
  <si>
    <t>Sales-Based Approach: Emissions from Users of Air Conditioning and Refrigeration Equipment</t>
  </si>
  <si>
    <t>Step 14</t>
  </si>
  <si>
    <t>Step 15</t>
  </si>
  <si>
    <t>Step 16</t>
  </si>
  <si>
    <t>Step 17</t>
  </si>
  <si>
    <t>Step 18</t>
  </si>
  <si>
    <t>Increase in Total Full Charge of Equipment (kilograms)</t>
  </si>
  <si>
    <t>N</t>
  </si>
  <si>
    <t>U</t>
  </si>
  <si>
    <t>V</t>
  </si>
  <si>
    <t>Refrigerant purchased from producers/ distributors in bulk</t>
  </si>
  <si>
    <t>Refrigerant provided by manufacturers with or inside equipment</t>
  </si>
  <si>
    <t>Refrigerant added to equipment by contractors</t>
  </si>
  <si>
    <t>Sales of refrigerant (in bulk, not in equipment) to other entities</t>
  </si>
  <si>
    <t>Refrigerant left in equipment that is sold to other entities</t>
  </si>
  <si>
    <t>Refrigerant returned to suppliers</t>
  </si>
  <si>
    <t>Total full charge of new equipment</t>
  </si>
  <si>
    <t>Total full charge of equipment retrofitted to use this refrigerant</t>
  </si>
  <si>
    <t>Original total full charge of equipment that is retired or sold to other entities</t>
  </si>
  <si>
    <t>Total full charge of equipment retrofitted away from this refrigerant to a different refrigerant</t>
  </si>
  <si>
    <r>
      <t>Decrease in Refrigerant Inventory</t>
    </r>
    <r>
      <rPr>
        <sz val="10"/>
        <rFont val="Calibri"/>
        <family val="2"/>
        <scheme val="minor"/>
      </rPr>
      <t xml:space="preserve">
E = C - D</t>
    </r>
  </si>
  <si>
    <r>
      <t>Total Refrigerant Purchases/ Acquisitions</t>
    </r>
    <r>
      <rPr>
        <sz val="10"/>
        <rFont val="Calibri"/>
        <family val="2"/>
        <scheme val="minor"/>
      </rPr>
      <t xml:space="preserve">
J = F + G + H + I</t>
    </r>
  </si>
  <si>
    <r>
      <t>Total Refrigerant Sales/Disbursements</t>
    </r>
    <r>
      <rPr>
        <sz val="10"/>
        <rFont val="Calibri"/>
        <family val="2"/>
        <scheme val="minor"/>
      </rPr>
      <t xml:space="preserve">
P = K + L + M + N + O</t>
    </r>
  </si>
  <si>
    <r>
      <t>Increase in Total Full Charge of Equipment</t>
    </r>
    <r>
      <rPr>
        <sz val="10"/>
        <rFont val="Calibri"/>
        <family val="2"/>
        <scheme val="minor"/>
      </rPr>
      <t xml:space="preserve">
U = Q + R - S - T</t>
    </r>
  </si>
  <si>
    <r>
      <t>Refrigerant Emissions (kilograms)</t>
    </r>
    <r>
      <rPr>
        <sz val="10"/>
        <rFont val="Calibri"/>
        <family val="2"/>
        <scheme val="minor"/>
      </rPr>
      <t xml:space="preserve">
V = E + J - P - U</t>
    </r>
  </si>
  <si>
    <t>GWP of Refrigerant</t>
  </si>
  <si>
    <r>
      <t>CO2-Equivalent Emissions (tonnes)</t>
    </r>
    <r>
      <rPr>
        <sz val="10"/>
        <rFont val="Calibri"/>
        <family val="2"/>
        <scheme val="minor"/>
      </rPr>
      <t xml:space="preserve">
Y = V x W x X</t>
    </r>
  </si>
  <si>
    <t>TOTAL USER EMISSIONS  ============&gt;</t>
  </si>
  <si>
    <t>TOTAL USER EMISSIONS</t>
  </si>
  <si>
    <t>Please insert more rows as necessary to list additional refrigerants.</t>
  </si>
  <si>
    <t>Lifecycle Stage Approach: Emissions from Users of Air Conditioning and Refrigeration Equipment</t>
  </si>
  <si>
    <t>Installation Emissions (kilograms)</t>
  </si>
  <si>
    <t>Use Emissions (kg)</t>
  </si>
  <si>
    <t>Final Use and Disposal Emissions (kilograms)</t>
  </si>
  <si>
    <t>Refrigerant used to fill new equipment</t>
  </si>
  <si>
    <t>Refrigerant used to fill equipment retrofitted to use this refrigerant</t>
  </si>
  <si>
    <t>Total full charge of new equipment using this refrigerant</t>
  </si>
  <si>
    <t>Refrigerant used to service equipment (net amount after recovery, recycling and recharge)</t>
  </si>
  <si>
    <t>Total original full charge of equipment retrofitted away from this refrigerant to a different refrigerant</t>
  </si>
  <si>
    <t>Refrigerant recovered from retiring equipment</t>
  </si>
  <si>
    <t>Refrigerant recovered from equipment retrofitted away from this refrigerant to a different refrigerant</t>
  </si>
  <si>
    <r>
      <t>Total Installation Emissions</t>
    </r>
    <r>
      <rPr>
        <sz val="10"/>
        <rFont val="Calibri"/>
        <family val="2"/>
        <scheme val="minor"/>
      </rPr>
      <t xml:space="preserve">
G = C + D - E - F</t>
    </r>
  </si>
  <si>
    <r>
      <t>Total Final Use and Disposal Emissions</t>
    </r>
    <r>
      <rPr>
        <sz val="10"/>
        <rFont val="Calibri"/>
        <family val="2"/>
        <scheme val="minor"/>
      </rPr>
      <t xml:space="preserve">
M = I + J - K - L</t>
    </r>
  </si>
  <si>
    <r>
      <t>Refrigerant Emissions (kilograms)</t>
    </r>
    <r>
      <rPr>
        <sz val="10"/>
        <rFont val="Calibri"/>
        <family val="2"/>
        <scheme val="minor"/>
      </rPr>
      <t xml:space="preserve">
N = G + H + M</t>
    </r>
  </si>
  <si>
    <r>
      <t>CO2-Equivalent Emissions (tonnes)</t>
    </r>
    <r>
      <rPr>
        <sz val="10"/>
        <rFont val="Calibri"/>
        <family val="2"/>
        <scheme val="minor"/>
      </rPr>
      <t xml:space="preserve">
Q = N x O x P</t>
    </r>
  </si>
  <si>
    <t>Electricity and other sources of energy purchased from your local utility (that is not combusted on-site). Examples include electricity, steam, and chilled or hot water. To generate this energy, utilities combust coal, natural gas, and other fossil fuels, emitting carbon dioxide, methane, and nitrous oxide in the process.</t>
  </si>
  <si>
    <t>Data required:
1. Energy source
2. Energy usage
3. Units (kWh for electricity)</t>
  </si>
  <si>
    <t>● User has the option to choose between market-based or location-based emissions</t>
  </si>
  <si>
    <t>● The tool includes data for grid average emission factors for the US, Canada, Australia and China; residual mix factors are provided for the US, Canada and EU countries</t>
  </si>
  <si>
    <t>● Market-based emissions hierarchy: Custom emission factors, residual mix, location based/grid average</t>
  </si>
  <si>
    <t>● Country-level location based emission factors are available for other countries from the IEA. These factors may be purchased from:</t>
  </si>
  <si>
    <t xml:space="preserve">   http://data.iea.org/payment/products/122-emissions-factors-2017-edition.aspx</t>
  </si>
  <si>
    <t>Amount of Electricity Consumption</t>
  </si>
  <si>
    <t>Calculation Approach</t>
  </si>
  <si>
    <t>Type of Emission Factor</t>
  </si>
  <si>
    <t>Custom Emission Factor</t>
  </si>
  <si>
    <r>
      <t>EF (kgCO</t>
    </r>
    <r>
      <rPr>
        <vertAlign val="subscript"/>
        <sz val="12"/>
        <color theme="0"/>
        <rFont val="Calibri"/>
        <family val="2"/>
        <scheme val="minor"/>
      </rPr>
      <t>2</t>
    </r>
    <r>
      <rPr>
        <sz val="12"/>
        <color theme="0"/>
        <rFont val="Calibri"/>
        <family val="2"/>
        <scheme val="minor"/>
      </rPr>
      <t>e/kWh)</t>
    </r>
  </si>
  <si>
    <t>Heat/Steam</t>
  </si>
  <si>
    <t>Grid Average/Location Based</t>
  </si>
  <si>
    <r>
      <t>Location Based - Total GHG emissions from fossil fuels (tonnes CO</t>
    </r>
    <r>
      <rPr>
        <vertAlign val="subscript"/>
        <sz val="12"/>
        <color theme="0"/>
        <rFont val="Calibri"/>
        <family val="2"/>
        <scheme val="minor"/>
      </rPr>
      <t>2</t>
    </r>
    <r>
      <rPr>
        <sz val="12"/>
        <color theme="0"/>
        <rFont val="Calibri"/>
        <family val="2"/>
        <scheme val="minor"/>
      </rPr>
      <t>e):</t>
    </r>
  </si>
  <si>
    <r>
      <t>Market Based - Total GHG emissions from fossil fuels (tonnes CO</t>
    </r>
    <r>
      <rPr>
        <vertAlign val="subscript"/>
        <sz val="12"/>
        <color theme="0"/>
        <rFont val="Calibri"/>
        <family val="2"/>
        <scheme val="minor"/>
      </rPr>
      <t>2</t>
    </r>
    <r>
      <rPr>
        <sz val="12"/>
        <color theme="0"/>
        <rFont val="Calibri"/>
        <family val="2"/>
        <scheme val="minor"/>
      </rPr>
      <t>e):</t>
    </r>
  </si>
  <si>
    <r>
      <t>Heat/Steam - Total GHG emissions from fossil fuels (tonnes CO</t>
    </r>
    <r>
      <rPr>
        <vertAlign val="subscript"/>
        <sz val="12"/>
        <color theme="0"/>
        <rFont val="Calibri"/>
        <family val="2"/>
        <scheme val="minor"/>
      </rPr>
      <t>2</t>
    </r>
    <r>
      <rPr>
        <sz val="12"/>
        <color theme="0"/>
        <rFont val="Calibri"/>
        <family val="2"/>
        <scheme val="minor"/>
      </rPr>
      <t>e):</t>
    </r>
  </si>
  <si>
    <t>S3 - Transportation</t>
  </si>
  <si>
    <t>Fuel consumption by vehicles used to conduct company-financed travel. Examples include commercial air travel and use of rented vehicles during business trips (travel using company-owned/leased vehicles are included in Scope 1).</t>
  </si>
  <si>
    <t>Data required:
1. Method of travel 
2. Travel distance and units/weight distance and units/passenger distance and units</t>
  </si>
  <si>
    <t>● Emission factors database includes emission factors from EPA (US based) and DEFRA (UK based)</t>
  </si>
  <si>
    <t>● US EPA is recommended for use in calculating emissions in the US; UK DEFRA is recommended for emission activities in the UK</t>
  </si>
  <si>
    <t>Category</t>
  </si>
  <si>
    <t>Emission Factor Dataset</t>
  </si>
  <si>
    <t>Mode of Transport</t>
  </si>
  <si>
    <t>GHG Emissions</t>
  </si>
  <si>
    <t>Amount of Activity Type</t>
  </si>
  <si>
    <t>Units of Measurement</t>
  </si>
  <si>
    <t>Upstream T&amp;D</t>
  </si>
  <si>
    <t>Car</t>
  </si>
  <si>
    <t>Business Travel</t>
  </si>
  <si>
    <t>US EPA</t>
  </si>
  <si>
    <t>Air</t>
  </si>
  <si>
    <t>Distance</t>
  </si>
  <si>
    <t>Employee Commute</t>
  </si>
  <si>
    <t>Passenger Distance</t>
  </si>
  <si>
    <r>
      <t>Total GHG emissions from Upstream T&amp;D (tonnes CO</t>
    </r>
    <r>
      <rPr>
        <vertAlign val="subscript"/>
        <sz val="12"/>
        <color theme="0"/>
        <rFont val="Calibri"/>
        <family val="2"/>
        <scheme val="minor"/>
      </rPr>
      <t>2</t>
    </r>
    <r>
      <rPr>
        <sz val="12"/>
        <color theme="0"/>
        <rFont val="Calibri"/>
        <family val="2"/>
        <scheme val="minor"/>
      </rPr>
      <t>e):</t>
    </r>
  </si>
  <si>
    <r>
      <t>Total GHG emissions from Business Travel (tonnes CO</t>
    </r>
    <r>
      <rPr>
        <vertAlign val="subscript"/>
        <sz val="12"/>
        <color theme="0"/>
        <rFont val="Calibri"/>
        <family val="2"/>
        <scheme val="minor"/>
      </rPr>
      <t>2</t>
    </r>
    <r>
      <rPr>
        <sz val="12"/>
        <color theme="0"/>
        <rFont val="Calibri"/>
        <family val="2"/>
        <scheme val="minor"/>
      </rPr>
      <t>e):</t>
    </r>
  </si>
  <si>
    <r>
      <t>Total GHG emissions from Employee Commute (tonnes CO</t>
    </r>
    <r>
      <rPr>
        <vertAlign val="subscript"/>
        <sz val="12"/>
        <color theme="0"/>
        <rFont val="Calibri"/>
        <family val="2"/>
        <scheme val="minor"/>
      </rPr>
      <t>2</t>
    </r>
    <r>
      <rPr>
        <sz val="12"/>
        <color theme="0"/>
        <rFont val="Calibri"/>
        <family val="2"/>
        <scheme val="minor"/>
      </rPr>
      <t>e):</t>
    </r>
  </si>
  <si>
    <t>GHG Emissions Summary</t>
  </si>
  <si>
    <t>Boundary for results:</t>
  </si>
  <si>
    <t>Company</t>
  </si>
  <si>
    <t>Year (optional):</t>
  </si>
  <si>
    <t>Stationary combustion</t>
  </si>
  <si>
    <t>Mobile combustion</t>
  </si>
  <si>
    <t>Fugitive emissions from air-conditioning</t>
  </si>
  <si>
    <t>Other fugitive or process emissions</t>
  </si>
  <si>
    <t>Scope 1 - Total</t>
  </si>
  <si>
    <t>Purchased electricity - location based</t>
  </si>
  <si>
    <t>Purchased electricity - market based</t>
  </si>
  <si>
    <t>Purchased heat and steam</t>
  </si>
  <si>
    <t>Scope 2 - Location based + heat and steam</t>
  </si>
  <si>
    <t>Scope 2 - market based + heat and steam</t>
  </si>
  <si>
    <t>Purchased goods and services</t>
  </si>
  <si>
    <t>Capital goods</t>
  </si>
  <si>
    <t>Fuel-and energy-related activities (not included in  scope 1 or scope 2)</t>
  </si>
  <si>
    <t>Upstream transportation and distribution</t>
  </si>
  <si>
    <t>Waste generated in operations</t>
  </si>
  <si>
    <t>Business travel</t>
  </si>
  <si>
    <t>Employee commuting</t>
  </si>
  <si>
    <t>Upstream leased assets</t>
  </si>
  <si>
    <t>Downstream transportation and distribution</t>
  </si>
  <si>
    <t>Processing of sold products</t>
  </si>
  <si>
    <t>Use of sold products</t>
  </si>
  <si>
    <t>End-of-life treatment of sold products</t>
  </si>
  <si>
    <t>Downstream leased assets</t>
  </si>
  <si>
    <t>Franchises</t>
  </si>
  <si>
    <t>Investments</t>
  </si>
  <si>
    <t>Scope 1 (Biogenic)</t>
  </si>
  <si>
    <t>Scope 2 (Biogenic)</t>
  </si>
  <si>
    <t>Scope 3 (Biogenic)</t>
  </si>
  <si>
    <t>Disaggregation of Scope 1&amp;2 emissions by facility or country</t>
  </si>
  <si>
    <t>Facility</t>
  </si>
  <si>
    <t>Unique Countries</t>
  </si>
  <si>
    <t>Facility to country</t>
  </si>
  <si>
    <t>Refrigerants/Fugitive Emissions</t>
  </si>
  <si>
    <t>Purchased Electricity - Location based</t>
  </si>
  <si>
    <t>Purchased Electricity - Market based</t>
  </si>
  <si>
    <t>Purchased Heat and Steam</t>
  </si>
  <si>
    <t>IPCC Assessment</t>
  </si>
  <si>
    <t>Boundary</t>
  </si>
  <si>
    <t>Mobile EF</t>
  </si>
  <si>
    <t>Select</t>
  </si>
  <si>
    <t>Heating Value</t>
  </si>
  <si>
    <t>S3 - Type of Activity Data</t>
  </si>
  <si>
    <t>E-consumption units</t>
  </si>
  <si>
    <t>Fuel consumption units</t>
  </si>
  <si>
    <t>S1 - Type of Activity Data</t>
  </si>
  <si>
    <t>Scope 3 - Category</t>
  </si>
  <si>
    <t>Purchased Energy EF</t>
  </si>
  <si>
    <t>Energy Units</t>
  </si>
  <si>
    <t>S3 units</t>
  </si>
  <si>
    <t>Custom EF numerator</t>
  </si>
  <si>
    <t>TJ</t>
  </si>
  <si>
    <t>Sales Approach (Product)</t>
  </si>
  <si>
    <t>Higher</t>
  </si>
  <si>
    <t>kW</t>
  </si>
  <si>
    <t>T_D</t>
  </si>
  <si>
    <t>US Gallon</t>
  </si>
  <si>
    <t>Btu</t>
  </si>
  <si>
    <t>nautical mile</t>
  </si>
  <si>
    <t>g</t>
  </si>
  <si>
    <t>UK DEFRA</t>
  </si>
  <si>
    <t>GJ</t>
  </si>
  <si>
    <t>Sales Approach (User)</t>
  </si>
  <si>
    <t>Lower</t>
  </si>
  <si>
    <t>MW</t>
  </si>
  <si>
    <t>EC_BT</t>
  </si>
  <si>
    <t>Litre</t>
  </si>
  <si>
    <t>Custom Settings</t>
  </si>
  <si>
    <t>MJ</t>
  </si>
  <si>
    <t>Lifecycle Stage Approach</t>
  </si>
  <si>
    <t>Vehicle Distance</t>
  </si>
  <si>
    <t>GW</t>
  </si>
  <si>
    <t>bbl</t>
  </si>
  <si>
    <t>brl</t>
  </si>
  <si>
    <t>Barrel</t>
  </si>
  <si>
    <t>therm</t>
  </si>
  <si>
    <t>tonne</t>
  </si>
  <si>
    <t>Weight Distance</t>
  </si>
  <si>
    <t>Compressed Natural Gas</t>
  </si>
  <si>
    <t>Standard Cubic Foot</t>
  </si>
  <si>
    <t>MWh</t>
  </si>
  <si>
    <t>ccf</t>
  </si>
  <si>
    <t>ft^3</t>
  </si>
  <si>
    <t>Cubic Foot</t>
  </si>
  <si>
    <t>m3</t>
  </si>
  <si>
    <t>Jet Fuel</t>
  </si>
  <si>
    <t>EC_BT_US EPA_Car</t>
  </si>
  <si>
    <t>Hundred Cubic Feet</t>
  </si>
  <si>
    <t>Residual Mix</t>
  </si>
  <si>
    <t>yd^3</t>
  </si>
  <si>
    <t>Cubic Yard</t>
  </si>
  <si>
    <t>vehicle-km</t>
  </si>
  <si>
    <t>Therm</t>
  </si>
  <si>
    <t>Cubic Meter</t>
  </si>
  <si>
    <t>metric tonne</t>
  </si>
  <si>
    <t>EC_BT_US EPA_Rail</t>
  </si>
  <si>
    <t>cm^3</t>
  </si>
  <si>
    <t>Cubic Centimeter</t>
  </si>
  <si>
    <t>pound (lb)</t>
  </si>
  <si>
    <t>t</t>
  </si>
  <si>
    <t>Metric Ton</t>
  </si>
  <si>
    <t>Kilogram</t>
  </si>
  <si>
    <t>Motor_Gasoline</t>
  </si>
  <si>
    <t>EC_BT_US EPA_Bus</t>
  </si>
  <si>
    <t>lb</t>
  </si>
  <si>
    <t>Pound</t>
  </si>
  <si>
    <t>litres</t>
  </si>
  <si>
    <t>Diesel_Fuel</t>
  </si>
  <si>
    <t>EC_BT_US EPA_Air</t>
  </si>
  <si>
    <t>ton</t>
  </si>
  <si>
    <t>Short Ton</t>
  </si>
  <si>
    <t>foot3</t>
  </si>
  <si>
    <t>Biodiesel</t>
  </si>
  <si>
    <t>Long Ton</t>
  </si>
  <si>
    <t>meter3</t>
  </si>
  <si>
    <t>Gram</t>
  </si>
  <si>
    <t>barrel</t>
  </si>
  <si>
    <t>Ethanol</t>
  </si>
  <si>
    <t>mi</t>
  </si>
  <si>
    <t>Mile</t>
  </si>
  <si>
    <t>Jet_Fuel</t>
  </si>
  <si>
    <t>EC_BT_UK DEFRA_Car</t>
  </si>
  <si>
    <t>nm</t>
  </si>
  <si>
    <t>Nautical Mile</t>
  </si>
  <si>
    <t>Aviation_Gasoline</t>
  </si>
  <si>
    <t>m</t>
  </si>
  <si>
    <t>Meter</t>
  </si>
  <si>
    <t>Kilometer</t>
  </si>
  <si>
    <t>Kilowatt-hour</t>
  </si>
  <si>
    <t>Megawatt-hour</t>
  </si>
  <si>
    <t>GWh</t>
  </si>
  <si>
    <t>Gigawatt-hour</t>
  </si>
  <si>
    <t>BTU</t>
  </si>
  <si>
    <t>MMBTU</t>
  </si>
  <si>
    <t>Megajoule</t>
  </si>
  <si>
    <t>EC_BT_UK DEFRA_Bus</t>
  </si>
  <si>
    <t>Gigajoule</t>
  </si>
  <si>
    <t>EC_BT_UK DEFRA_Rail</t>
  </si>
  <si>
    <t>t-mi</t>
  </si>
  <si>
    <t>Tonne Mile</t>
  </si>
  <si>
    <t>ton-mi</t>
  </si>
  <si>
    <t>Short Ton Mile</t>
  </si>
  <si>
    <t>ton-km</t>
  </si>
  <si>
    <t>Short Ton Kilometer</t>
  </si>
  <si>
    <t>EC_BT_UK DEFRA_Air</t>
  </si>
  <si>
    <t>t-km</t>
  </si>
  <si>
    <t>Tonne Kilometer</t>
  </si>
  <si>
    <t>p-mi</t>
  </si>
  <si>
    <t>Passenger Mile</t>
  </si>
  <si>
    <t>MPG</t>
  </si>
  <si>
    <t>Miles per Gallon</t>
  </si>
  <si>
    <t>L/km</t>
  </si>
  <si>
    <t>Liters per Kilometer</t>
  </si>
  <si>
    <t>sq ft</t>
  </si>
  <si>
    <t>Square Foot</t>
  </si>
  <si>
    <t>acre</t>
  </si>
  <si>
    <t>Acre</t>
  </si>
  <si>
    <t>ha</t>
  </si>
  <si>
    <t>Hectare</t>
  </si>
  <si>
    <t>EC_BT_UK DEFRA_Ferry</t>
  </si>
  <si>
    <t>T_D_US EPA_Car</t>
  </si>
  <si>
    <t>T_D_US EPA_Rail</t>
  </si>
  <si>
    <t>T_D_US EPA_Ferry</t>
  </si>
  <si>
    <t>T_D_US EPA_Air</t>
  </si>
  <si>
    <t>T_D_UK DEFRA_Car</t>
  </si>
  <si>
    <t>T_D_UK DEFRA_Air</t>
  </si>
  <si>
    <t>T_D_UK DEFRA_Rail</t>
  </si>
  <si>
    <t>T_D_UK DEFRA_Ferry</t>
  </si>
  <si>
    <t>EC_BT_UK DEFRA_Air_RF</t>
  </si>
  <si>
    <t>T_D_UK DEFRA_Air_RF</t>
  </si>
  <si>
    <t>Carbon dioxide  </t>
  </si>
  <si>
    <t>Methane  </t>
  </si>
  <si>
    <t>Nitrous oxide  </t>
  </si>
  <si>
    <t>.</t>
  </si>
  <si>
    <t>[@EF[Reference KG CO2]]/IF([@[Reference Unit in F7]]=[@[Standardized Unit of fuel]],1,VLOOKUP([@[Reference Unit in F7]]&amp;"_to_"&amp;[@[Standardized Unit]],REF_UnitConversions,REF_UnitConversions_Col,FALSE))</t>
  </si>
  <si>
    <t>From Unit</t>
  </si>
  <si>
    <t>1 016.04691</t>
  </si>
  <si>
    <t>2. Standard unit conversions - Mass, Volume, Energy, Distance, Other</t>
  </si>
  <si>
    <t>Unit Conversions</t>
  </si>
  <si>
    <t>Mass</t>
  </si>
  <si>
    <t xml:space="preserve">Convert From </t>
  </si>
  <si>
    <t>Convert To</t>
  </si>
  <si>
    <t>Multiply By</t>
  </si>
  <si>
    <t>lb_to_g</t>
  </si>
  <si>
    <t>gram per pound</t>
  </si>
  <si>
    <t>lb_to_kg</t>
  </si>
  <si>
    <t>kilogram per pound</t>
  </si>
  <si>
    <t>lb_to_metric ton</t>
  </si>
  <si>
    <t>metric ton</t>
  </si>
  <si>
    <t>metric ton / pound</t>
  </si>
  <si>
    <t>kg_to_lb</t>
  </si>
  <si>
    <t>pound per kilogram</t>
  </si>
  <si>
    <t>kg_to_metric ton</t>
  </si>
  <si>
    <t>kilogram per metric ton</t>
  </si>
  <si>
    <t>short ton_to_lb</t>
  </si>
  <si>
    <t>short ton</t>
  </si>
  <si>
    <t>lb / short ton</t>
  </si>
  <si>
    <t>short ton_to_kg</t>
  </si>
  <si>
    <t>kg / short ton</t>
  </si>
  <si>
    <t>metric ton_to_lb</t>
  </si>
  <si>
    <t>lb / metric ton</t>
  </si>
  <si>
    <t>metric ton_to_kg</t>
  </si>
  <si>
    <t>kg / metric ton</t>
  </si>
  <si>
    <t>metric ton_to_short ton</t>
  </si>
  <si>
    <t>short ton / metric ton</t>
  </si>
  <si>
    <t>Volume</t>
  </si>
  <si>
    <t>scf_to_gal (US)</t>
  </si>
  <si>
    <t>US gallon per standard cubic foot</t>
  </si>
  <si>
    <t>scf_to_bbl</t>
  </si>
  <si>
    <t>barrel per standard cubic foot</t>
  </si>
  <si>
    <t>scf_to_L</t>
  </si>
  <si>
    <t>liter per standard cubic foot</t>
  </si>
  <si>
    <t>scf_to_m3</t>
  </si>
  <si>
    <t>cubic meter per standard cubic foot</t>
  </si>
  <si>
    <t>gal (US)_to_bbl</t>
  </si>
  <si>
    <t>barrel per US gallon</t>
  </si>
  <si>
    <t>gal (US)_to_L</t>
  </si>
  <si>
    <t>liter per US gallon</t>
  </si>
  <si>
    <t>gal (US)_to_m3</t>
  </si>
  <si>
    <t>cubic meter per US gallon</t>
  </si>
  <si>
    <t>bbl_to_gal (US)</t>
  </si>
  <si>
    <t>US gallon per barrel</t>
  </si>
  <si>
    <t>bbl_to_L</t>
  </si>
  <si>
    <t>liter per barrel</t>
  </si>
  <si>
    <t>bbl_to_m3</t>
  </si>
  <si>
    <t>cubic meter per barrel</t>
  </si>
  <si>
    <t>L_to_m3</t>
  </si>
  <si>
    <t>cubic meter per liter</t>
  </si>
  <si>
    <t>L_to_gal (US)</t>
  </si>
  <si>
    <t>US gallon per liter</t>
  </si>
  <si>
    <t>m3_to_bbl</t>
  </si>
  <si>
    <t>barrel per cubic meter</t>
  </si>
  <si>
    <t>m3_to_gal (US)</t>
  </si>
  <si>
    <t>US gallon per cubic meter</t>
  </si>
  <si>
    <t>m3_to_L</t>
  </si>
  <si>
    <t>liter per cubic meter</t>
  </si>
  <si>
    <t>gal (US)_to_gal (US)</t>
  </si>
  <si>
    <t>m3_to_m3</t>
  </si>
  <si>
    <t>L_to_L</t>
  </si>
  <si>
    <t>gal (US)_to_scf</t>
  </si>
  <si>
    <t>L_to_scf</t>
  </si>
  <si>
    <t>ccf_to_scf</t>
  </si>
  <si>
    <t>m3_to_scf</t>
  </si>
  <si>
    <t>Energy</t>
  </si>
  <si>
    <t>kWh_to_Btu</t>
  </si>
  <si>
    <t>Btu / kWh</t>
  </si>
  <si>
    <t>kWh_to_KJ</t>
  </si>
  <si>
    <t>KJ</t>
  </si>
  <si>
    <t>KJ / kWh</t>
  </si>
  <si>
    <t>MJ_to_GJ</t>
  </si>
  <si>
    <t>GJ / MJ</t>
  </si>
  <si>
    <t>MJ_to_mmBtu</t>
  </si>
  <si>
    <t>mmBtu / MJ</t>
  </si>
  <si>
    <t>GJ_to_mmBtu</t>
  </si>
  <si>
    <t>mmBtu / GJ</t>
  </si>
  <si>
    <t>kWh_to_mmBtu</t>
  </si>
  <si>
    <t>mmBtu / kWh</t>
  </si>
  <si>
    <t>MWh_to_mmBtu</t>
  </si>
  <si>
    <t>mmBtu / MWh</t>
  </si>
  <si>
    <t>Btu_to_mmBtu</t>
  </si>
  <si>
    <t>mmBtu / Btu</t>
  </si>
  <si>
    <t>MJ_to_kWh</t>
  </si>
  <si>
    <t>kWh / MJ</t>
  </si>
  <si>
    <t>GJ_to_kWh</t>
  </si>
  <si>
    <t>kWh / GJ</t>
  </si>
  <si>
    <t>mmBtu_to_GJ</t>
  </si>
  <si>
    <t>GJ / mmBtu</t>
  </si>
  <si>
    <t>mmBtu_to_kWh</t>
  </si>
  <si>
    <t>kWh / mmBtu</t>
  </si>
  <si>
    <t>MWh_to_kWh</t>
  </si>
  <si>
    <t>kWh / MWh</t>
  </si>
  <si>
    <t>therm_to_Btu</t>
  </si>
  <si>
    <t>Btu / therm</t>
  </si>
  <si>
    <t>therm_to_GJ</t>
  </si>
  <si>
    <t>GJ / therm</t>
  </si>
  <si>
    <t>therm_to_kWh</t>
  </si>
  <si>
    <t>kWh / therm</t>
  </si>
  <si>
    <t>kWh_to_MWh</t>
  </si>
  <si>
    <t>MWh / kWh</t>
  </si>
  <si>
    <t>MWh_to_MWh</t>
  </si>
  <si>
    <t>MWh / MWh</t>
  </si>
  <si>
    <t>BTU_to_MWh</t>
  </si>
  <si>
    <t>MWh / BTU</t>
  </si>
  <si>
    <t>BTU_to_kWh</t>
  </si>
  <si>
    <t>kWh / BTU</t>
  </si>
  <si>
    <t>MMBTU_to_MWh</t>
  </si>
  <si>
    <t>MWh / MMBTU</t>
  </si>
  <si>
    <t>GJ_to_MWh</t>
  </si>
  <si>
    <t>MWh / GJ</t>
  </si>
  <si>
    <t>therm_to_MWh</t>
  </si>
  <si>
    <t>MWh / therm</t>
  </si>
  <si>
    <t>kWh_to_therm</t>
  </si>
  <si>
    <t>therm / kWh</t>
  </si>
  <si>
    <t>MWh_to_therm</t>
  </si>
  <si>
    <t>therm / MWh</t>
  </si>
  <si>
    <t>BTU_to_therm</t>
  </si>
  <si>
    <t>therm / BTU</t>
  </si>
  <si>
    <t>mmBtu_to_therm</t>
  </si>
  <si>
    <t>therm / mmBtu</t>
  </si>
  <si>
    <t>MJ_to_therm</t>
  </si>
  <si>
    <t>therm / MJ</t>
  </si>
  <si>
    <t>GJ_to_therm</t>
  </si>
  <si>
    <t>therm / GJ</t>
  </si>
  <si>
    <t>therm_to_therm</t>
  </si>
  <si>
    <t>therm / therm</t>
  </si>
  <si>
    <t>mmBtu_to_mmBtu</t>
  </si>
  <si>
    <t>mmBtu / mmBtu</t>
  </si>
  <si>
    <t>kWh_to_kWh</t>
  </si>
  <si>
    <t>kWh / kWh</t>
  </si>
  <si>
    <t>GJ_to_GJ</t>
  </si>
  <si>
    <t>GJ / GJ</t>
  </si>
  <si>
    <t>MJ_to_MJ</t>
  </si>
  <si>
    <t>MJ / MJ</t>
  </si>
  <si>
    <t>mmBtu_to_Btu</t>
  </si>
  <si>
    <t>Btu / mmBtu</t>
  </si>
  <si>
    <t>mile_to_km</t>
  </si>
  <si>
    <t>km / mile</t>
  </si>
  <si>
    <t>nautical mile_to_mile</t>
  </si>
  <si>
    <t>mile / nautical mile</t>
  </si>
  <si>
    <t>km_to_mile</t>
  </si>
  <si>
    <t>mile / km</t>
  </si>
  <si>
    <t>mile_to_passenger-mile</t>
  </si>
  <si>
    <t>passenger-mile / mile</t>
  </si>
  <si>
    <t>km_to_passenger-mile</t>
  </si>
  <si>
    <t>passenger-mile / km</t>
  </si>
  <si>
    <t>mile_to_vehicle-mile</t>
  </si>
  <si>
    <t>vehicle-mile / mile</t>
  </si>
  <si>
    <t>km_to_vehicle-mile</t>
  </si>
  <si>
    <t>vehicle-mile / km</t>
  </si>
  <si>
    <t>passenger-km_to_passenger-mile</t>
  </si>
  <si>
    <t>vehicle-km_to_vehicle-mile</t>
  </si>
  <si>
    <t>passenger-mile_to_passenger-km</t>
  </si>
  <si>
    <t>vehicle-km / mile</t>
  </si>
  <si>
    <t>vehicle-mile_to_vehicle-km</t>
  </si>
  <si>
    <t>passenger-mile_to_mile</t>
  </si>
  <si>
    <t>mile / passenger-mile</t>
  </si>
  <si>
    <t>passenger-km_to_mile</t>
  </si>
  <si>
    <t>mile / passenger-km</t>
  </si>
  <si>
    <t>mile_to_vehicle-km</t>
  </si>
  <si>
    <t>passenger-mile_to_km</t>
  </si>
  <si>
    <t>km / passenger-mile</t>
  </si>
  <si>
    <t>ton-mile_to_tonne-km</t>
  </si>
  <si>
    <t>tonne-km / ton-mile</t>
  </si>
  <si>
    <t>tonne-km_to_ton-mile</t>
  </si>
  <si>
    <t>gal (US)_to_ccf</t>
  </si>
  <si>
    <t>scf_to_ccf</t>
  </si>
  <si>
    <t>kWh_to_MJ</t>
  </si>
  <si>
    <t>MJ / kWh</t>
  </si>
  <si>
    <t>kWh_to_GJ</t>
  </si>
  <si>
    <t>GJ / kWh</t>
  </si>
  <si>
    <t>lbCO2e/MWh_to_kgCO2e/kWh</t>
  </si>
  <si>
    <t>lbCO2e/MWh</t>
  </si>
  <si>
    <t>kgCO2e/kWh</t>
  </si>
  <si>
    <t>mmBtu_to_MJ</t>
  </si>
  <si>
    <t>MJ / mmBtu</t>
  </si>
  <si>
    <t>therm_to_mmBtu</t>
  </si>
  <si>
    <t>mmBtu / therm</t>
  </si>
  <si>
    <t>passenger-mile_to_vehicle-mile</t>
  </si>
  <si>
    <t>vehicle-mile / passenger-mile</t>
  </si>
  <si>
    <t>vehicle-mile_to_passenger-mile</t>
  </si>
  <si>
    <t>passenger-mile / vehicle-mile</t>
  </si>
  <si>
    <t>passenger-km_to_vehicle-km</t>
  </si>
  <si>
    <t>vehicle-km / passenger-km</t>
  </si>
  <si>
    <t>vehicle-km_to_passenger-km</t>
  </si>
  <si>
    <t>passenger-km / vehicle-km</t>
  </si>
  <si>
    <t>passenger-mile_to_vehicle-km</t>
  </si>
  <si>
    <t>vehicle-km / passenger-mile</t>
  </si>
  <si>
    <t>vehicle-mile_to_passenger-km</t>
  </si>
  <si>
    <t>passenger-km / vehicle-mile</t>
  </si>
  <si>
    <t>passenger-km_to_vehicle-mile</t>
  </si>
  <si>
    <t>vehicle-mile / passenger-km</t>
  </si>
  <si>
    <t>vehicle-km_to_passenger-mile</t>
  </si>
  <si>
    <t>passenger-mile / vehicle-km</t>
  </si>
  <si>
    <t>Table 1</t>
  </si>
  <si>
    <t xml:space="preserve">   Stationary Combustion</t>
  </si>
  <si>
    <t>Table 2</t>
  </si>
  <si>
    <r>
      <t xml:space="preserve">   Mobile Combustion CO</t>
    </r>
    <r>
      <rPr>
        <b/>
        <vertAlign val="subscript"/>
        <sz val="12"/>
        <rFont val="Arial"/>
        <family val="2"/>
      </rPr>
      <t>2</t>
    </r>
  </si>
  <si>
    <r>
      <t>CO</t>
    </r>
    <r>
      <rPr>
        <b/>
        <vertAlign val="subscript"/>
        <sz val="10"/>
        <rFont val="Arial"/>
        <family val="2"/>
      </rPr>
      <t>2</t>
    </r>
    <r>
      <rPr>
        <b/>
        <sz val="10"/>
        <rFont val="Arial"/>
        <family val="2"/>
      </rPr>
      <t xml:space="preserve"> Factor</t>
    </r>
  </si>
  <si>
    <r>
      <t>CH</t>
    </r>
    <r>
      <rPr>
        <b/>
        <vertAlign val="subscript"/>
        <sz val="10"/>
        <rFont val="Arial"/>
        <family val="2"/>
      </rPr>
      <t>4</t>
    </r>
    <r>
      <rPr>
        <b/>
        <sz val="10"/>
        <rFont val="Arial"/>
        <family val="2"/>
      </rPr>
      <t xml:space="preserve"> Factor</t>
    </r>
  </si>
  <si>
    <r>
      <t>N</t>
    </r>
    <r>
      <rPr>
        <b/>
        <vertAlign val="subscript"/>
        <sz val="10"/>
        <rFont val="Arial"/>
        <family val="2"/>
      </rPr>
      <t>2</t>
    </r>
    <r>
      <rPr>
        <b/>
        <sz val="10"/>
        <rFont val="Arial"/>
        <family val="2"/>
      </rPr>
      <t>O Factor</t>
    </r>
  </si>
  <si>
    <r>
      <t>kg CO</t>
    </r>
    <r>
      <rPr>
        <b/>
        <vertAlign val="subscript"/>
        <sz val="10"/>
        <rFont val="Arial"/>
        <family val="2"/>
      </rPr>
      <t>2</t>
    </r>
    <r>
      <rPr>
        <b/>
        <sz val="10"/>
        <rFont val="Arial"/>
        <family val="2"/>
      </rPr>
      <t xml:space="preserve"> per unit</t>
    </r>
  </si>
  <si>
    <r>
      <t>kg CO</t>
    </r>
    <r>
      <rPr>
        <b/>
        <vertAlign val="subscript"/>
        <sz val="9"/>
        <rFont val="Arial"/>
        <family val="2"/>
      </rPr>
      <t>2</t>
    </r>
    <r>
      <rPr>
        <b/>
        <sz val="9"/>
        <rFont val="Arial"/>
        <family val="2"/>
      </rPr>
      <t xml:space="preserve"> per mmBtu</t>
    </r>
  </si>
  <si>
    <r>
      <t>g CH</t>
    </r>
    <r>
      <rPr>
        <b/>
        <vertAlign val="subscript"/>
        <sz val="9"/>
        <rFont val="Arial"/>
        <family val="2"/>
      </rPr>
      <t>4</t>
    </r>
    <r>
      <rPr>
        <b/>
        <sz val="9"/>
        <rFont val="Arial"/>
        <family val="2"/>
      </rPr>
      <t xml:space="preserve"> per mmBtu</t>
    </r>
  </si>
  <si>
    <r>
      <t>g N</t>
    </r>
    <r>
      <rPr>
        <b/>
        <vertAlign val="subscript"/>
        <sz val="9"/>
        <rFont val="Arial"/>
        <family val="2"/>
      </rPr>
      <t>2</t>
    </r>
    <r>
      <rPr>
        <b/>
        <sz val="9"/>
        <rFont val="Arial"/>
        <family val="2"/>
      </rPr>
      <t>O per mmBtu</t>
    </r>
  </si>
  <si>
    <r>
      <t>kg CO</t>
    </r>
    <r>
      <rPr>
        <b/>
        <vertAlign val="subscript"/>
        <sz val="9"/>
        <rFont val="Arial"/>
        <family val="2"/>
      </rPr>
      <t>2</t>
    </r>
    <r>
      <rPr>
        <b/>
        <sz val="9"/>
        <rFont val="Arial"/>
        <family val="2"/>
      </rPr>
      <t xml:space="preserve"> per short ton</t>
    </r>
  </si>
  <si>
    <r>
      <t>g CH</t>
    </r>
    <r>
      <rPr>
        <b/>
        <vertAlign val="subscript"/>
        <sz val="9"/>
        <rFont val="Arial"/>
        <family val="2"/>
      </rPr>
      <t>4</t>
    </r>
    <r>
      <rPr>
        <b/>
        <sz val="9"/>
        <rFont val="Arial"/>
        <family val="2"/>
      </rPr>
      <t xml:space="preserve"> per short ton</t>
    </r>
  </si>
  <si>
    <r>
      <t>g N</t>
    </r>
    <r>
      <rPr>
        <b/>
        <vertAlign val="subscript"/>
        <sz val="9"/>
        <rFont val="Arial"/>
        <family val="2"/>
      </rPr>
      <t>2</t>
    </r>
    <r>
      <rPr>
        <b/>
        <sz val="9"/>
        <rFont val="Arial"/>
        <family val="2"/>
      </rPr>
      <t>O per short ton</t>
    </r>
  </si>
  <si>
    <r>
      <t>LNG:  The factor was developed based on the CO</t>
    </r>
    <r>
      <rPr>
        <vertAlign val="subscript"/>
        <sz val="9"/>
        <rFont val="Arial"/>
        <family val="2"/>
      </rPr>
      <t>2</t>
    </r>
    <r>
      <rPr>
        <sz val="9"/>
        <rFont val="Arial"/>
        <family val="2"/>
      </rPr>
      <t xml:space="preserve"> factor for Natural Gas factor and LNG fuel density from GREET1_2017.xlsx Model, Argonne National Laboratory.  This represents a methodology change from previous versions. </t>
    </r>
  </si>
  <si>
    <t>Table 3</t>
  </si>
  <si>
    <r>
      <t xml:space="preserve">   Mobile Combustion CH</t>
    </r>
    <r>
      <rPr>
        <b/>
        <vertAlign val="subscript"/>
        <sz val="12"/>
        <rFont val="Arial"/>
        <family val="2"/>
      </rPr>
      <t>4</t>
    </r>
    <r>
      <rPr>
        <b/>
        <sz val="12"/>
        <rFont val="Arial"/>
        <family val="2"/>
      </rPr>
      <t xml:space="preserve"> and N</t>
    </r>
    <r>
      <rPr>
        <b/>
        <vertAlign val="subscript"/>
        <sz val="12"/>
        <rFont val="Arial"/>
        <family val="2"/>
      </rPr>
      <t>2</t>
    </r>
    <r>
      <rPr>
        <b/>
        <sz val="12"/>
        <rFont val="Arial"/>
        <family val="2"/>
      </rPr>
      <t>O for On-Road Gasoline Vehicles</t>
    </r>
  </si>
  <si>
    <r>
      <t>CH</t>
    </r>
    <r>
      <rPr>
        <b/>
        <vertAlign val="subscript"/>
        <sz val="10"/>
        <rFont val="Arial"/>
        <family val="2"/>
      </rPr>
      <t>4</t>
    </r>
    <r>
      <rPr>
        <b/>
        <sz val="10"/>
        <rFont val="Arial"/>
        <family val="2"/>
      </rPr>
      <t xml:space="preserve"> Factor 
(g / mile)</t>
    </r>
  </si>
  <si>
    <r>
      <t>N</t>
    </r>
    <r>
      <rPr>
        <b/>
        <vertAlign val="subscript"/>
        <sz val="10"/>
        <rFont val="Arial"/>
        <family val="2"/>
      </rPr>
      <t>2</t>
    </r>
    <r>
      <rPr>
        <b/>
        <sz val="10"/>
        <rFont val="Arial"/>
        <family val="2"/>
      </rPr>
      <t>O Factor 
(g / mile)</t>
    </r>
  </si>
  <si>
    <r>
      <t>kg CO</t>
    </r>
    <r>
      <rPr>
        <b/>
        <vertAlign val="subscript"/>
        <sz val="9"/>
        <rFont val="Arial"/>
        <family val="2"/>
      </rPr>
      <t>2</t>
    </r>
    <r>
      <rPr>
        <b/>
        <sz val="9"/>
        <rFont val="Arial"/>
        <family val="2"/>
      </rPr>
      <t xml:space="preserve"> per scf</t>
    </r>
  </si>
  <si>
    <r>
      <t>g CH</t>
    </r>
    <r>
      <rPr>
        <b/>
        <vertAlign val="subscript"/>
        <sz val="9"/>
        <rFont val="Arial"/>
        <family val="2"/>
      </rPr>
      <t>4</t>
    </r>
    <r>
      <rPr>
        <b/>
        <sz val="9"/>
        <rFont val="Arial"/>
        <family val="2"/>
      </rPr>
      <t xml:space="preserve"> per scf</t>
    </r>
  </si>
  <si>
    <r>
      <t>g N</t>
    </r>
    <r>
      <rPr>
        <b/>
        <vertAlign val="subscript"/>
        <sz val="9"/>
        <rFont val="Arial"/>
        <family val="2"/>
      </rPr>
      <t>2</t>
    </r>
    <r>
      <rPr>
        <b/>
        <sz val="9"/>
        <rFont val="Arial"/>
        <family val="2"/>
      </rPr>
      <t>O per scf</t>
    </r>
  </si>
  <si>
    <r>
      <t>kg CO</t>
    </r>
    <r>
      <rPr>
        <b/>
        <vertAlign val="subscript"/>
        <sz val="9"/>
        <rFont val="Arial"/>
        <family val="2"/>
      </rPr>
      <t>2</t>
    </r>
    <r>
      <rPr>
        <b/>
        <sz val="9"/>
        <rFont val="Arial"/>
        <family val="2"/>
      </rPr>
      <t xml:space="preserve"> per gallon</t>
    </r>
  </si>
  <si>
    <r>
      <t>g CH</t>
    </r>
    <r>
      <rPr>
        <b/>
        <vertAlign val="subscript"/>
        <sz val="9"/>
        <rFont val="Arial"/>
        <family val="2"/>
      </rPr>
      <t>4</t>
    </r>
    <r>
      <rPr>
        <b/>
        <sz val="9"/>
        <rFont val="Arial"/>
        <family val="2"/>
      </rPr>
      <t xml:space="preserve"> per gallon</t>
    </r>
  </si>
  <si>
    <r>
      <t>g N</t>
    </r>
    <r>
      <rPr>
        <b/>
        <vertAlign val="subscript"/>
        <sz val="9"/>
        <rFont val="Arial"/>
        <family val="2"/>
      </rPr>
      <t>2</t>
    </r>
    <r>
      <rPr>
        <b/>
        <sz val="9"/>
        <rFont val="Arial"/>
        <family val="2"/>
      </rPr>
      <t>O per gallon</t>
    </r>
  </si>
  <si>
    <r>
      <rPr>
        <b/>
        <sz val="9"/>
        <rFont val="Arial"/>
        <family val="2"/>
      </rPr>
      <t>Note:</t>
    </r>
    <r>
      <rPr>
        <sz val="9"/>
        <rFont val="Arial"/>
        <family val="2"/>
      </rPr>
      <t xml:space="preserve"> Emission factors are per unit of heat content using higher heating values (HHV). If heat content is available from the fuel supplier, it is preferable to use that value. If not, default heat contents are provided.</t>
    </r>
  </si>
  <si>
    <t>Gaseous fuels</t>
  </si>
  <si>
    <t>tonnes</t>
  </si>
  <si>
    <t>kWh (Net CV)</t>
  </si>
  <si>
    <t>kWh (Gross CV)</t>
  </si>
  <si>
    <t>LNG</t>
  </si>
  <si>
    <r>
      <t xml:space="preserve">Source:  </t>
    </r>
    <r>
      <rPr>
        <sz val="9"/>
        <rFont val="Arial"/>
        <family val="2"/>
      </rPr>
      <t>EPA (2017) Inventory of U.S. Greenhouse Gas Emissions and Sinks: 1990-2015. All values are calculated from Tables A-104 through A-110.</t>
    </r>
  </si>
  <si>
    <t>Table 4</t>
  </si>
  <si>
    <r>
      <t xml:space="preserve">    Mobile Combustion CH</t>
    </r>
    <r>
      <rPr>
        <b/>
        <vertAlign val="subscript"/>
        <sz val="12"/>
        <rFont val="Arial"/>
        <family val="2"/>
      </rPr>
      <t>4</t>
    </r>
    <r>
      <rPr>
        <b/>
        <sz val="12"/>
        <rFont val="Arial"/>
        <family val="2"/>
      </rPr>
      <t xml:space="preserve"> and N</t>
    </r>
    <r>
      <rPr>
        <b/>
        <vertAlign val="subscript"/>
        <sz val="12"/>
        <rFont val="Arial"/>
        <family val="2"/>
      </rPr>
      <t>2</t>
    </r>
    <r>
      <rPr>
        <b/>
        <sz val="12"/>
        <rFont val="Arial"/>
        <family val="2"/>
      </rPr>
      <t>O for On-Road Diesel and Alternative Fuel Vehicles</t>
    </r>
  </si>
  <si>
    <r>
      <t>CH</t>
    </r>
    <r>
      <rPr>
        <b/>
        <vertAlign val="subscript"/>
        <sz val="10"/>
        <rFont val="Arial"/>
        <family val="2"/>
      </rPr>
      <t xml:space="preserve">4 </t>
    </r>
    <r>
      <rPr>
        <b/>
        <sz val="10"/>
        <rFont val="Arial"/>
        <family val="2"/>
      </rPr>
      <t>Factor 
(g / mile)</t>
    </r>
  </si>
  <si>
    <t>Natural gas</t>
  </si>
  <si>
    <t>cubic metres</t>
  </si>
  <si>
    <t>Natural gas (100% mineral blend)</t>
  </si>
  <si>
    <t>Other petroleum gas</t>
  </si>
  <si>
    <t>Liquid fuels</t>
  </si>
  <si>
    <t>Aviation spirit</t>
  </si>
  <si>
    <t>Aviation turbine fuel</t>
  </si>
  <si>
    <t>Table 5</t>
  </si>
  <si>
    <r>
      <t xml:space="preserve">    Mobile Combustion CH</t>
    </r>
    <r>
      <rPr>
        <b/>
        <vertAlign val="subscript"/>
        <sz val="12"/>
        <rFont val="Arial"/>
        <family val="2"/>
      </rPr>
      <t>4</t>
    </r>
    <r>
      <rPr>
        <b/>
        <sz val="12"/>
        <rFont val="Arial"/>
        <family val="2"/>
      </rPr>
      <t xml:space="preserve"> and N</t>
    </r>
    <r>
      <rPr>
        <b/>
        <vertAlign val="subscript"/>
        <sz val="12"/>
        <rFont val="Arial"/>
        <family val="2"/>
      </rPr>
      <t>2</t>
    </r>
    <r>
      <rPr>
        <b/>
        <sz val="12"/>
        <rFont val="Arial"/>
        <family val="2"/>
      </rPr>
      <t>O for Non-Road Vehicles</t>
    </r>
  </si>
  <si>
    <t>Burning oil</t>
  </si>
  <si>
    <r>
      <t>CH</t>
    </r>
    <r>
      <rPr>
        <b/>
        <vertAlign val="subscript"/>
        <sz val="10"/>
        <rFont val="Arial"/>
        <family val="2"/>
      </rPr>
      <t xml:space="preserve">4 </t>
    </r>
    <r>
      <rPr>
        <b/>
        <sz val="10"/>
        <rFont val="Arial"/>
        <family val="2"/>
      </rPr>
      <t xml:space="preserve">Factor 
(g / gallon) </t>
    </r>
  </si>
  <si>
    <r>
      <t>N</t>
    </r>
    <r>
      <rPr>
        <b/>
        <vertAlign val="subscript"/>
        <sz val="10"/>
        <rFont val="Arial"/>
        <family val="2"/>
      </rPr>
      <t>2</t>
    </r>
    <r>
      <rPr>
        <b/>
        <sz val="10"/>
        <rFont val="Arial"/>
        <family val="2"/>
      </rPr>
      <t xml:space="preserve">O Factor 
(g / gallon) </t>
    </r>
  </si>
  <si>
    <t>Diesel (average biofuel blend)</t>
  </si>
  <si>
    <t>Diesel (100% mineral diesel)</t>
  </si>
  <si>
    <t>Fuel oil</t>
  </si>
  <si>
    <r>
      <t xml:space="preserve">Source:  </t>
    </r>
    <r>
      <rPr>
        <sz val="9"/>
        <rFont val="Arial"/>
        <family val="2"/>
      </rPr>
      <t>EPA (2017) Inventory of U.S. Greenhouse Gas Emissions and Sinks: 1990-2015. All values are calculated from Table A-110.</t>
    </r>
  </si>
  <si>
    <t>Gas oil</t>
  </si>
  <si>
    <r>
      <rPr>
        <b/>
        <sz val="9"/>
        <rFont val="Arial"/>
        <family val="2"/>
      </rPr>
      <t>Note:</t>
    </r>
    <r>
      <rPr>
        <sz val="9"/>
        <rFont val="Arial"/>
        <family val="2"/>
      </rPr>
      <t xml:space="preserve"> LPG non-road vehicles assumed equal to other gasoline sources.  Biodiesel vehicles assumed equal to other diesel sources.</t>
    </r>
  </si>
  <si>
    <t>Table 8</t>
  </si>
  <si>
    <r>
      <t>CO</t>
    </r>
    <r>
      <rPr>
        <b/>
        <vertAlign val="subscript"/>
        <sz val="10"/>
        <rFont val="Arial"/>
        <family val="2"/>
      </rPr>
      <t>2</t>
    </r>
    <r>
      <rPr>
        <b/>
        <sz val="10"/>
        <rFont val="Arial"/>
        <family val="2"/>
      </rPr>
      <t xml:space="preserve"> Factor 
(kg / unit)</t>
    </r>
  </si>
  <si>
    <r>
      <t>CH</t>
    </r>
    <r>
      <rPr>
        <b/>
        <vertAlign val="subscript"/>
        <sz val="10"/>
        <rFont val="Arial"/>
        <family val="2"/>
      </rPr>
      <t xml:space="preserve">4 </t>
    </r>
    <r>
      <rPr>
        <b/>
        <sz val="10"/>
        <rFont val="Arial"/>
        <family val="2"/>
      </rPr>
      <t>Factor 
(g / unit)</t>
    </r>
  </si>
  <si>
    <r>
      <t>N</t>
    </r>
    <r>
      <rPr>
        <b/>
        <vertAlign val="subscript"/>
        <sz val="10"/>
        <rFont val="Arial"/>
        <family val="2"/>
      </rPr>
      <t>2</t>
    </r>
    <r>
      <rPr>
        <b/>
        <sz val="10"/>
        <rFont val="Arial"/>
        <family val="2"/>
      </rPr>
      <t>O Factor 
(g / unit)</t>
    </r>
  </si>
  <si>
    <r>
      <t xml:space="preserve">Passenger Car </t>
    </r>
    <r>
      <rPr>
        <vertAlign val="superscript"/>
        <sz val="10"/>
        <rFont val="Arial"/>
        <family val="2"/>
      </rPr>
      <t>A</t>
    </r>
  </si>
  <si>
    <r>
      <t xml:space="preserve">Light-Duty Truck </t>
    </r>
    <r>
      <rPr>
        <vertAlign val="superscript"/>
        <sz val="10"/>
        <rFont val="Arial"/>
        <family val="2"/>
      </rPr>
      <t>B</t>
    </r>
  </si>
  <si>
    <t>Naphtha</t>
  </si>
  <si>
    <r>
      <t>Intercity Rail (i.e. Amtrak)</t>
    </r>
    <r>
      <rPr>
        <vertAlign val="superscript"/>
        <sz val="10"/>
        <rFont val="Arial"/>
        <family val="2"/>
      </rPr>
      <t xml:space="preserve"> C</t>
    </r>
  </si>
  <si>
    <r>
      <t>Commuter Rail</t>
    </r>
    <r>
      <rPr>
        <vertAlign val="superscript"/>
        <sz val="10"/>
        <rFont val="Arial"/>
        <family val="2"/>
      </rPr>
      <t xml:space="preserve"> D</t>
    </r>
  </si>
  <si>
    <r>
      <t>Transit Rail (i.e. Subway, Tram)</t>
    </r>
    <r>
      <rPr>
        <vertAlign val="superscript"/>
        <sz val="10"/>
        <rFont val="Arial"/>
        <family val="2"/>
      </rPr>
      <t xml:space="preserve"> E</t>
    </r>
  </si>
  <si>
    <t>Petrol (average biofuel blend)</t>
  </si>
  <si>
    <t>Petrol (100% mineral petrol)</t>
  </si>
  <si>
    <r>
      <rPr>
        <b/>
        <sz val="9"/>
        <rFont val="Arial"/>
        <family val="2"/>
      </rPr>
      <t>Source:</t>
    </r>
    <r>
      <rPr>
        <sz val="9"/>
        <rFont val="Arial"/>
        <family val="2"/>
      </rPr>
      <t xml:space="preserve"> 
CO</t>
    </r>
    <r>
      <rPr>
        <vertAlign val="subscript"/>
        <sz val="9"/>
        <rFont val="Arial"/>
        <family val="2"/>
      </rPr>
      <t>2</t>
    </r>
    <r>
      <rPr>
        <sz val="9"/>
        <rFont val="Arial"/>
        <family val="2"/>
      </rPr>
      <t>, CH</t>
    </r>
    <r>
      <rPr>
        <vertAlign val="subscript"/>
        <sz val="9"/>
        <rFont val="Arial"/>
        <family val="2"/>
      </rPr>
      <t>4</t>
    </r>
    <r>
      <rPr>
        <sz val="9"/>
        <rFont val="Arial"/>
        <family val="2"/>
      </rPr>
      <t>, and N</t>
    </r>
    <r>
      <rPr>
        <vertAlign val="subscript"/>
        <sz val="9"/>
        <rFont val="Arial"/>
        <family val="2"/>
      </rPr>
      <t>2</t>
    </r>
    <r>
      <rPr>
        <sz val="9"/>
        <rFont val="Arial"/>
        <family val="2"/>
      </rPr>
      <t xml:space="preserve">O emissions data for highway vehicles are from Table 2-13 of the Inventory of U.S. Greenhouse Gas Emissions and Sinks: 1990–2015.  Vehicle-miles and passenger-miles data for highway vehicles are from Table VM-1 of the Federal Highway Administration Highway Statistics 2015.
Fuel consumption data and passenger-miles data for rail are from Tables A.14 to A.16 and 9.10 to 9.12 of the Transportation Energy Data Book: Edition 35. Fuel consumption was converted to emissions by using fuel and electricity emission factors presented in the tables above. 
Air Travel factors from 2017 Guidelines to Defra / DECC's GHG Conversion Factors for Company Reporting.  Version 1.0 August 2017. </t>
    </r>
  </si>
  <si>
    <r>
      <rPr>
        <b/>
        <sz val="9"/>
        <rFont val="Arial"/>
        <family val="2"/>
      </rPr>
      <t>Notes:</t>
    </r>
    <r>
      <rPr>
        <sz val="9"/>
        <rFont val="Arial"/>
        <family val="2"/>
      </rPr>
      <t xml:space="preserve"> 
</t>
    </r>
    <r>
      <rPr>
        <vertAlign val="superscript"/>
        <sz val="9"/>
        <rFont val="Arial"/>
        <family val="2"/>
      </rPr>
      <t xml:space="preserve">A    </t>
    </r>
    <r>
      <rPr>
        <sz val="9"/>
        <rFont val="Arial"/>
        <family val="2"/>
      </rPr>
      <t xml:space="preserve">Passenger car: includes passenger cars, minivans, SUVs, and small pickup trucks (vehicles with wheelbase less than 121 inches).  
</t>
    </r>
    <r>
      <rPr>
        <vertAlign val="superscript"/>
        <sz val="9"/>
        <rFont val="Arial"/>
        <family val="2"/>
      </rPr>
      <t>B</t>
    </r>
    <r>
      <rPr>
        <sz val="9"/>
        <rFont val="Arial"/>
        <family val="2"/>
      </rPr>
      <t xml:space="preserve"> Light-duty truck: includes full-size pickup trucks, full-size vans, and extended-length SUVs (vehicles with wheelbase greater than 121 inches). 
</t>
    </r>
    <r>
      <rPr>
        <vertAlign val="superscript"/>
        <sz val="9"/>
        <rFont val="Arial"/>
        <family val="2"/>
      </rPr>
      <t>C</t>
    </r>
    <r>
      <rPr>
        <sz val="9"/>
        <rFont val="Arial"/>
        <family val="2"/>
      </rPr>
      <t xml:space="preserve"> Intercity rail: long-distance rail between major cities, such as Amtrak
</t>
    </r>
    <r>
      <rPr>
        <vertAlign val="superscript"/>
        <sz val="9"/>
        <rFont val="Arial"/>
        <family val="2"/>
      </rPr>
      <t>D</t>
    </r>
    <r>
      <rPr>
        <sz val="9"/>
        <rFont val="Arial"/>
        <family val="2"/>
      </rPr>
      <t xml:space="preserve"> Commuter rail: rail service between a central city and adjacent suburbs (also called regional rail or suburban rail)
</t>
    </r>
    <r>
      <rPr>
        <vertAlign val="superscript"/>
        <sz val="9"/>
        <rFont val="Arial"/>
        <family val="2"/>
      </rPr>
      <t>E</t>
    </r>
    <r>
      <rPr>
        <sz val="9"/>
        <rFont val="Arial"/>
        <family val="2"/>
      </rPr>
      <t xml:space="preserve"> Transit rail: rail typically within an urban center, such as subways, elevated railways, metropolitan railways (metro), streetcars, trolley cars, and tramways.</t>
    </r>
    <r>
      <rPr>
        <vertAlign val="superscript"/>
        <sz val="9"/>
        <rFont val="Geneva"/>
      </rPr>
      <t/>
    </r>
  </si>
  <si>
    <t>Table 9</t>
  </si>
  <si>
    <t>Processed fuel oils - residual oil</t>
  </si>
  <si>
    <t>Processed fuel oils - distillate oil</t>
  </si>
  <si>
    <r>
      <t>Medium- and Heavy-Duty Truck</t>
    </r>
    <r>
      <rPr>
        <vertAlign val="superscript"/>
        <sz val="10"/>
        <rFont val="Arial"/>
        <family val="2"/>
      </rPr>
      <t>C</t>
    </r>
  </si>
  <si>
    <t>Refinery miscellaneous</t>
  </si>
  <si>
    <t>Waste oils</t>
  </si>
  <si>
    <t>Cars (by market segment)</t>
  </si>
  <si>
    <t>Mini</t>
  </si>
  <si>
    <t/>
  </si>
  <si>
    <t>Marine gas oil</t>
  </si>
  <si>
    <t>Supermini</t>
  </si>
  <si>
    <t>Lower medium</t>
  </si>
  <si>
    <t>Marine fuel oil</t>
  </si>
  <si>
    <t>Upper medium</t>
  </si>
  <si>
    <t>Executive</t>
  </si>
  <si>
    <t>Luxury</t>
  </si>
  <si>
    <t>Solid fuels</t>
  </si>
  <si>
    <t>Coal (industrial)</t>
  </si>
  <si>
    <t>Sports</t>
  </si>
  <si>
    <t>Dual purpose 4X4</t>
  </si>
  <si>
    <t>Coal (electricity generation)</t>
  </si>
  <si>
    <t>MPV</t>
  </si>
  <si>
    <t>Coal (domestic)</t>
  </si>
  <si>
    <t>Coking coal</t>
  </si>
  <si>
    <t>Petroleum coke</t>
  </si>
  <si>
    <t>Coal (electricity generation - home produced coal only)</t>
  </si>
  <si>
    <t>Biofuel</t>
  </si>
  <si>
    <t>Bioethanol</t>
  </si>
  <si>
    <t>Biomethane</t>
  </si>
  <si>
    <t>Biodiesel (from used cooking oil)</t>
  </si>
  <si>
    <t>Biodiesel (from tallow)</t>
  </si>
  <si>
    <t>Biomass</t>
  </si>
  <si>
    <t>Wood logs</t>
  </si>
  <si>
    <t>Wood chips</t>
  </si>
  <si>
    <t>Wood pellets</t>
  </si>
  <si>
    <t>Grass/straw</t>
  </si>
  <si>
    <t>Biogas</t>
  </si>
  <si>
    <t>Landfill gas</t>
  </si>
  <si>
    <t>Sexto Informe IPCC</t>
  </si>
  <si>
    <t>AR6</t>
  </si>
  <si>
    <t>Cosechadora (movil)</t>
  </si>
  <si>
    <t>cinta transportadora (estacionaria)</t>
  </si>
  <si>
    <t>centrifugas (estacionarias)</t>
  </si>
  <si>
    <t>camionetas (movil)</t>
  </si>
  <si>
    <t>camiones (movil)</t>
  </si>
  <si>
    <t>residuos</t>
  </si>
  <si>
    <t>Motor electrico</t>
  </si>
  <si>
    <t>hidrociclon</t>
  </si>
  <si>
    <t>horno electrico</t>
  </si>
  <si>
    <t>raspadora (movil)</t>
  </si>
  <si>
    <t>niveladora (movil)</t>
  </si>
  <si>
    <t>barco (movil)</t>
  </si>
  <si>
    <t>Kwh</t>
  </si>
  <si>
    <t>Ton*Km</t>
  </si>
  <si>
    <t>Kg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</si>
</sst>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9">
    <numFmt numFmtId="41" formatCode="_-* #,##0_-;\-* #,##0_-;_-* &quot;-&quot;_-;_-@_-"/>
    <numFmt numFmtId="43" formatCode="_-* #,##0.00_-;\-* #,##0.00_-;_-* &quot;-&quot;??_-;_-@_-"/>
    <numFmt numFmtId="164" formatCode="_(* #,##0.00_);_(* \(#,##0.00\);_(* &quot;-&quot;??_);_(@_)"/>
    <numFmt numFmtId="165" formatCode="_-&quot;$&quot;* #,##0_-;\-&quot;$&quot;* #,##0_-;_-&quot;$&quot;* &quot;-&quot;_-;_-@_-"/>
    <numFmt numFmtId="166" formatCode="_-&quot;$&quot;* #,##0.00_-;\-&quot;$&quot;* #,##0.00_-;_-&quot;$&quot;* &quot;-&quot;??_-;_-@_-"/>
    <numFmt numFmtId="167" formatCode="_(* #,##0_);_(* \(#,##0\);_(* &quot;-&quot;??_);_(@_)"/>
    <numFmt numFmtId="168" formatCode="_(* #,##0.0_);_(* \(#,##0.0\);_(* &quot;-&quot;??_);_(@_)"/>
    <numFmt numFmtId="169" formatCode="_(* #,##0.000_);_(* \(#,##0.000\);_(* &quot;-&quot;??_);_(@_)"/>
    <numFmt numFmtId="170" formatCode="0.0E+00"/>
    <numFmt numFmtId="171" formatCode="_(* #,##0.000000_);_(* \(#,##0.000000\);_(* &quot;-&quot;??_);_(@_)"/>
    <numFmt numFmtId="172" formatCode="_(* #,##0.00000_);_(* \(#,##0.00000\);_(* &quot;-&quot;??_);_(@_)"/>
    <numFmt numFmtId="173" formatCode="0.000"/>
    <numFmt numFmtId="174" formatCode="0.0000"/>
    <numFmt numFmtId="175" formatCode="0.00000"/>
    <numFmt numFmtId="176" formatCode="??0.0?????"/>
    <numFmt numFmtId="177" formatCode="??0.0??????"/>
    <numFmt numFmtId="178" formatCode="??0.0????"/>
    <numFmt numFmtId="179" formatCode="??0.00"/>
    <numFmt numFmtId="180" formatCode="??0.00000"/>
    <numFmt numFmtId="181" formatCode="_(* #,##0.0000_);_(* \(#,##0.0000\);_(* &quot;-&quot;??_);_(@_)"/>
    <numFmt numFmtId="182" formatCode="_(* #,##0.00_);_(* \(#,##0.00\);_(@_)"/>
    <numFmt numFmtId="183" formatCode="_(* #,##0.0000_);_(* \(#,##0.0000\);_(@_)"/>
    <numFmt numFmtId="184" formatCode="[=0]0;[&lt;0.001]0.000E+00;0.000"/>
    <numFmt numFmtId="185" formatCode="0.0"/>
    <numFmt numFmtId="186" formatCode="0.00_)"/>
    <numFmt numFmtId="187" formatCode="_(* #,##0_);_(* \(#,##0\);_(@_)"/>
    <numFmt numFmtId="188" formatCode="_-* #,##0.00000_-;\-* #,##0.00000_-;_-* &quot;-&quot;??_-;_-@_-"/>
    <numFmt numFmtId="189" formatCode="0.000000"/>
    <numFmt numFmtId="190" formatCode="0.0000000"/>
  </numFmts>
  <fonts count="100">
    <font>
      <sz val="11"/>
      <color theme="1"/>
      <name val="Calibri"/>
      <family val="2"/>
      <scheme val="minor"/>
    </font>
    <font>
      <sz val="11"/>
      <color theme="1"/>
      <name val="Calibri"/>
      <family val="2"/>
      <scheme val="minor"/>
    </font>
    <font>
      <sz val="18"/>
      <color theme="3"/>
      <name val="Calibri Light"/>
      <family val="2"/>
      <scheme val="major"/>
    </font>
    <font>
      <sz val="11"/>
      <color rgb="FF006100"/>
      <name val="Calibri"/>
      <family val="2"/>
      <scheme val="minor"/>
    </font>
    <font>
      <sz val="11"/>
      <color rgb="FF9C0006"/>
      <name val="Calibri"/>
      <family val="2"/>
      <scheme val="minor"/>
    </font>
    <font>
      <sz val="11"/>
      <color rgb="FF9C5700"/>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0"/>
      <name val="Verdana"/>
      <family val="2"/>
    </font>
    <font>
      <b/>
      <sz val="12"/>
      <name val="Arial"/>
      <family val="2"/>
    </font>
    <font>
      <sz val="10"/>
      <name val="Arial"/>
      <family val="2"/>
    </font>
    <font>
      <i/>
      <sz val="10"/>
      <color theme="4"/>
      <name val="Arial"/>
      <family val="2"/>
    </font>
    <font>
      <b/>
      <sz val="10"/>
      <name val="Arial"/>
      <family val="2"/>
    </font>
    <font>
      <b/>
      <vertAlign val="subscript"/>
      <sz val="10"/>
      <name val="Arial"/>
      <family val="2"/>
    </font>
    <font>
      <b/>
      <sz val="10"/>
      <color theme="5"/>
      <name val="Arial"/>
      <family val="2"/>
    </font>
    <font>
      <b/>
      <sz val="9"/>
      <name val="Arial"/>
      <family val="2"/>
    </font>
    <font>
      <b/>
      <vertAlign val="subscript"/>
      <sz val="9"/>
      <name val="Arial"/>
      <family val="2"/>
    </font>
    <font>
      <i/>
      <sz val="9"/>
      <color theme="4"/>
      <name val="Arial"/>
      <family val="2"/>
    </font>
    <font>
      <sz val="10"/>
      <color rgb="FFFF0000"/>
      <name val="Arial"/>
      <family val="2"/>
    </font>
    <font>
      <sz val="9"/>
      <name val="Arial"/>
      <family val="2"/>
    </font>
    <font>
      <sz val="9"/>
      <color indexed="10"/>
      <name val="Arial"/>
      <family val="2"/>
    </font>
    <font>
      <u/>
      <sz val="10"/>
      <color indexed="12"/>
      <name val="Verdana"/>
      <family val="2"/>
    </font>
    <font>
      <u/>
      <sz val="10"/>
      <name val="Arial"/>
      <family val="2"/>
    </font>
    <font>
      <u/>
      <sz val="9"/>
      <color indexed="12"/>
      <name val="Arial"/>
      <family val="2"/>
    </font>
    <font>
      <sz val="10"/>
      <color theme="1"/>
      <name val="Arial"/>
      <family val="2"/>
    </font>
    <font>
      <vertAlign val="subscript"/>
      <sz val="11"/>
      <color indexed="56"/>
      <name val="Calibri"/>
      <family val="2"/>
    </font>
    <font>
      <u/>
      <sz val="11"/>
      <color indexed="12"/>
      <name val="Calibri"/>
      <family val="2"/>
    </font>
    <font>
      <sz val="11"/>
      <color indexed="56"/>
      <name val="Calibri"/>
      <family val="2"/>
    </font>
    <font>
      <sz val="10"/>
      <color theme="9" tint="-0.499984740745262"/>
      <name val="Arial"/>
      <family val="2"/>
    </font>
    <font>
      <i/>
      <sz val="10"/>
      <color rgb="FFFF0000"/>
      <name val="Arial"/>
      <family val="2"/>
    </font>
    <font>
      <u/>
      <sz val="10"/>
      <color theme="11"/>
      <name val="Arial"/>
      <family val="2"/>
    </font>
    <font>
      <b/>
      <sz val="10"/>
      <color theme="0"/>
      <name val="Arial"/>
      <family val="2"/>
    </font>
    <font>
      <sz val="11"/>
      <color rgb="FF053D5F"/>
      <name val="Calibri"/>
      <family val="2"/>
      <scheme val="minor"/>
    </font>
    <font>
      <sz val="11"/>
      <color rgb="FF002060"/>
      <name val="Calibri"/>
      <family val="2"/>
      <scheme val="minor"/>
    </font>
    <font>
      <sz val="8"/>
      <name val="Calibri"/>
      <family val="2"/>
      <scheme val="minor"/>
    </font>
    <font>
      <sz val="10"/>
      <color theme="1"/>
      <name val="Calibri"/>
      <family val="2"/>
      <scheme val="minor"/>
    </font>
    <font>
      <sz val="12"/>
      <name val="Arial"/>
      <family val="2"/>
    </font>
    <font>
      <b/>
      <vertAlign val="subscript"/>
      <sz val="12"/>
      <name val="Arial"/>
      <family val="2"/>
    </font>
    <font>
      <vertAlign val="subscript"/>
      <sz val="9"/>
      <name val="Arial"/>
      <family val="2"/>
    </font>
    <font>
      <sz val="10"/>
      <color rgb="FF00B050"/>
      <name val="Arial"/>
      <family val="2"/>
    </font>
    <font>
      <vertAlign val="superscript"/>
      <sz val="10"/>
      <name val="Arial"/>
      <family val="2"/>
    </font>
    <font>
      <vertAlign val="superscript"/>
      <sz val="9"/>
      <name val="Arial"/>
      <family val="2"/>
    </font>
    <font>
      <vertAlign val="superscript"/>
      <sz val="9"/>
      <name val="Geneva"/>
    </font>
    <font>
      <sz val="10"/>
      <color indexed="8"/>
      <name val="Arial"/>
      <family val="2"/>
    </font>
    <font>
      <b/>
      <sz val="10"/>
      <color theme="0"/>
      <name val="Calibri"/>
      <family val="2"/>
      <scheme val="minor"/>
    </font>
    <font>
      <b/>
      <sz val="18"/>
      <color theme="1"/>
      <name val="Calibri"/>
      <family val="2"/>
      <scheme val="minor"/>
    </font>
    <font>
      <sz val="11"/>
      <color rgb="FFFF0000"/>
      <name val="Calibri"/>
      <family val="2"/>
      <scheme val="minor"/>
    </font>
    <font>
      <sz val="8"/>
      <name val="Arial"/>
      <family val="2"/>
    </font>
    <font>
      <b/>
      <i/>
      <sz val="16"/>
      <name val="Helv"/>
    </font>
    <font>
      <vertAlign val="subscript"/>
      <sz val="10"/>
      <name val="Arial"/>
      <family val="2"/>
    </font>
    <font>
      <b/>
      <sz val="11"/>
      <name val="Calibri"/>
      <family val="2"/>
      <scheme val="minor"/>
    </font>
    <font>
      <sz val="11"/>
      <name val="Calibri"/>
      <family val="2"/>
      <scheme val="minor"/>
    </font>
    <font>
      <u/>
      <sz val="11"/>
      <color theme="10"/>
      <name val="Calibri"/>
      <family val="2"/>
      <scheme val="minor"/>
    </font>
    <font>
      <sz val="16"/>
      <color theme="1"/>
      <name val="Calibri"/>
      <family val="2"/>
      <scheme val="minor"/>
    </font>
    <font>
      <sz val="9"/>
      <color theme="1"/>
      <name val="Calibri"/>
      <family val="2"/>
      <scheme val="minor"/>
    </font>
    <font>
      <b/>
      <sz val="12"/>
      <color theme="0"/>
      <name val="Calibri"/>
      <family val="2"/>
      <scheme val="minor"/>
    </font>
    <font>
      <sz val="18"/>
      <color theme="1"/>
      <name val="Calibri"/>
      <family val="2"/>
      <scheme val="minor"/>
    </font>
    <font>
      <sz val="14"/>
      <color theme="1"/>
      <name val="Calibri"/>
      <family val="2"/>
      <scheme val="minor"/>
    </font>
    <font>
      <b/>
      <sz val="14"/>
      <color theme="1"/>
      <name val="Calibri"/>
      <family val="2"/>
      <scheme val="minor"/>
    </font>
    <font>
      <b/>
      <sz val="12"/>
      <color theme="1"/>
      <name val="Calibri"/>
      <family val="2"/>
      <scheme val="minor"/>
    </font>
    <font>
      <sz val="16"/>
      <color theme="0"/>
      <name val="Calibri"/>
      <family val="2"/>
      <scheme val="minor"/>
    </font>
    <font>
      <sz val="24"/>
      <color theme="0"/>
      <name val="Calibri"/>
      <family val="2"/>
      <scheme val="minor"/>
    </font>
    <font>
      <sz val="18"/>
      <color theme="0"/>
      <name val="Calibri"/>
      <family val="2"/>
      <scheme val="minor"/>
    </font>
    <font>
      <sz val="14"/>
      <color theme="0"/>
      <name val="Calibri"/>
      <family val="2"/>
      <scheme val="minor"/>
    </font>
    <font>
      <sz val="12"/>
      <color theme="1"/>
      <name val="Calibri"/>
      <family val="2"/>
      <scheme val="minor"/>
    </font>
    <font>
      <i/>
      <sz val="11"/>
      <color rgb="FFFF0000"/>
      <name val="Calibri"/>
      <family val="2"/>
      <scheme val="minor"/>
    </font>
    <font>
      <b/>
      <i/>
      <sz val="11"/>
      <color theme="1"/>
      <name val="Calibri"/>
      <family val="2"/>
      <scheme val="minor"/>
    </font>
    <font>
      <i/>
      <sz val="11"/>
      <color theme="1"/>
      <name val="Calibri"/>
      <family val="2"/>
      <scheme val="minor"/>
    </font>
    <font>
      <b/>
      <i/>
      <sz val="11"/>
      <color rgb="FFFF0000"/>
      <name val="Calibri"/>
      <family val="2"/>
      <scheme val="minor"/>
    </font>
    <font>
      <sz val="11"/>
      <color theme="0" tint="-0.499984740745262"/>
      <name val="Calibri"/>
      <family val="2"/>
      <scheme val="minor"/>
    </font>
    <font>
      <sz val="12"/>
      <color theme="0"/>
      <name val="Arial"/>
      <family val="2"/>
    </font>
    <font>
      <vertAlign val="subscript"/>
      <sz val="12"/>
      <color theme="0"/>
      <name val="Arial"/>
      <family val="2"/>
    </font>
    <font>
      <b/>
      <sz val="16"/>
      <color theme="0"/>
      <name val="Calibri"/>
      <family val="2"/>
      <scheme val="minor"/>
    </font>
    <font>
      <b/>
      <sz val="36"/>
      <color theme="0"/>
      <name val="Calibri"/>
      <family val="2"/>
      <scheme val="minor"/>
    </font>
    <font>
      <sz val="12"/>
      <name val="Calibri"/>
      <family val="2"/>
      <scheme val="minor"/>
    </font>
    <font>
      <b/>
      <sz val="12"/>
      <name val="Calibri"/>
      <family val="2"/>
      <scheme val="minor"/>
    </font>
    <font>
      <u/>
      <sz val="12"/>
      <color theme="10"/>
      <name val="Calibri"/>
      <family val="2"/>
      <scheme val="minor"/>
    </font>
    <font>
      <sz val="12"/>
      <color theme="0"/>
      <name val="Calibri"/>
      <family val="2"/>
      <scheme val="minor"/>
    </font>
    <font>
      <b/>
      <vertAlign val="subscript"/>
      <sz val="11"/>
      <color theme="0"/>
      <name val="Calibri"/>
      <family val="2"/>
      <scheme val="minor"/>
    </font>
    <font>
      <sz val="12"/>
      <color indexed="8"/>
      <name val="Calibri"/>
      <family val="2"/>
      <scheme val="minor"/>
    </font>
    <font>
      <sz val="8"/>
      <color theme="0"/>
      <name val="Calibri"/>
      <family val="2"/>
      <scheme val="minor"/>
    </font>
    <font>
      <sz val="10"/>
      <color theme="0"/>
      <name val="Calibri"/>
      <family val="2"/>
      <scheme val="minor"/>
    </font>
    <font>
      <sz val="12"/>
      <color rgb="FFFF0000"/>
      <name val="Calibri"/>
      <family val="2"/>
      <scheme val="minor"/>
    </font>
    <font>
      <b/>
      <sz val="18"/>
      <color theme="0"/>
      <name val="Calibri"/>
      <family val="2"/>
      <scheme val="minor"/>
    </font>
    <font>
      <b/>
      <sz val="14"/>
      <color theme="0"/>
      <name val="Calibri"/>
      <family val="2"/>
      <scheme val="minor"/>
    </font>
    <font>
      <sz val="14"/>
      <name val="Calibri"/>
      <family val="2"/>
      <scheme val="minor"/>
    </font>
    <font>
      <u/>
      <sz val="11"/>
      <color rgb="FF0070C0"/>
      <name val="Calibri"/>
      <family val="2"/>
      <scheme val="minor"/>
    </font>
    <font>
      <b/>
      <vertAlign val="subscript"/>
      <sz val="14"/>
      <color theme="1"/>
      <name val="Calibri"/>
      <family val="2"/>
      <scheme val="minor"/>
    </font>
    <font>
      <b/>
      <sz val="16"/>
      <color theme="1"/>
      <name val="Calibri"/>
      <family val="2"/>
      <scheme val="minor"/>
    </font>
    <font>
      <sz val="16"/>
      <name val="Calibri"/>
      <family val="2"/>
      <scheme val="minor"/>
    </font>
    <font>
      <b/>
      <sz val="20"/>
      <color theme="0"/>
      <name val="Calibri"/>
      <family val="2"/>
      <scheme val="minor"/>
    </font>
    <font>
      <b/>
      <sz val="20"/>
      <color rgb="FF008080"/>
      <name val="Calibri"/>
      <family val="2"/>
      <scheme val="minor"/>
    </font>
    <font>
      <sz val="10"/>
      <name val="Calibri"/>
      <family val="2"/>
      <scheme val="minor"/>
    </font>
    <font>
      <b/>
      <u/>
      <sz val="9.5"/>
      <name val="Calibri"/>
      <family val="2"/>
      <scheme val="minor"/>
    </font>
    <font>
      <b/>
      <sz val="10"/>
      <name val="Calibri"/>
      <family val="2"/>
      <scheme val="minor"/>
    </font>
    <font>
      <i/>
      <sz val="10"/>
      <color theme="0"/>
      <name val="Calibri"/>
      <family val="2"/>
      <scheme val="minor"/>
    </font>
    <font>
      <vertAlign val="subscript"/>
      <sz val="12"/>
      <color theme="0"/>
      <name val="Calibri"/>
      <family val="2"/>
      <scheme val="minor"/>
    </font>
    <font>
      <b/>
      <vertAlign val="subscript"/>
      <sz val="12"/>
      <color theme="0"/>
      <name val="Calibri"/>
      <family val="2"/>
      <scheme val="minor"/>
    </font>
    <font>
      <b/>
      <sz val="16"/>
      <name val="Calibri"/>
      <family val="2"/>
      <scheme val="minor"/>
    </font>
  </fonts>
  <fills count="6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5"/>
        <bgColor indexed="64"/>
      </patternFill>
    </fill>
    <fill>
      <patternFill patternType="solid">
        <fgColor indexed="43"/>
        <bgColor indexed="64"/>
      </patternFill>
    </fill>
    <fill>
      <patternFill patternType="solid">
        <fgColor indexed="9"/>
        <bgColor indexed="64"/>
      </patternFill>
    </fill>
    <fill>
      <patternFill patternType="solid">
        <fgColor indexed="44"/>
        <bgColor indexed="64"/>
      </patternFill>
    </fill>
    <fill>
      <patternFill patternType="solid">
        <fgColor indexed="22"/>
        <bgColor indexed="64"/>
      </patternFill>
    </fill>
    <fill>
      <patternFill patternType="solid">
        <fgColor indexed="41"/>
        <bgColor indexed="64"/>
      </patternFill>
    </fill>
    <fill>
      <patternFill patternType="solid">
        <fgColor rgb="FF92D050"/>
        <bgColor indexed="64"/>
      </patternFill>
    </fill>
    <fill>
      <patternFill patternType="solid">
        <fgColor rgb="FFCC99FF"/>
        <bgColor indexed="64"/>
      </patternFill>
    </fill>
    <fill>
      <patternFill patternType="solid">
        <fgColor theme="7" tint="0.39997558519241921"/>
        <bgColor rgb="FF000000"/>
      </patternFill>
    </fill>
    <fill>
      <patternFill patternType="solid">
        <fgColor rgb="FFFFFF99"/>
        <bgColor indexed="64"/>
      </patternFill>
    </fill>
    <fill>
      <patternFill patternType="solid">
        <fgColor rgb="FFFFFF99"/>
        <bgColor rgb="FF000000"/>
      </patternFill>
    </fill>
    <fill>
      <patternFill patternType="solid">
        <fgColor rgb="FF002060"/>
        <bgColor indexed="64"/>
      </patternFill>
    </fill>
    <fill>
      <patternFill patternType="solid">
        <fgColor theme="4" tint="0.79998168889431442"/>
        <bgColor rgb="FF000000"/>
      </patternFill>
    </fill>
    <fill>
      <patternFill patternType="solid">
        <fgColor rgb="FFFF0000"/>
        <bgColor indexed="64"/>
      </patternFill>
    </fill>
    <fill>
      <patternFill patternType="solid">
        <fgColor theme="0"/>
        <bgColor indexed="64"/>
      </patternFill>
    </fill>
    <fill>
      <patternFill patternType="solid">
        <fgColor rgb="FFD9D9D9"/>
        <bgColor indexed="64"/>
      </patternFill>
    </fill>
    <fill>
      <patternFill patternType="lightGray">
        <bgColor theme="0"/>
      </patternFill>
    </fill>
    <fill>
      <patternFill patternType="solid">
        <fgColor theme="0" tint="-0.249977111117893"/>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indexed="26"/>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rgb="FFFABF8F"/>
        <bgColor indexed="64"/>
      </patternFill>
    </fill>
    <fill>
      <patternFill patternType="solid">
        <fgColor rgb="FF008080"/>
        <bgColor indexed="64"/>
      </patternFill>
    </fill>
    <fill>
      <patternFill patternType="solid">
        <fgColor theme="6" tint="0.59999389629810485"/>
        <bgColor indexed="64"/>
      </patternFill>
    </fill>
    <fill>
      <patternFill patternType="solid">
        <fgColor theme="9"/>
        <bgColor theme="9"/>
      </patternFill>
    </fill>
    <fill>
      <patternFill patternType="solid">
        <fgColor theme="2"/>
        <bgColor indexed="64"/>
      </patternFill>
    </fill>
    <fill>
      <patternFill patternType="solid">
        <fgColor theme="2" tint="-9.9978637043366805E-2"/>
        <bgColor indexed="64"/>
      </patternFill>
    </fill>
    <fill>
      <patternFill patternType="solid">
        <fgColor theme="9"/>
        <bgColor theme="4"/>
      </patternFill>
    </fill>
    <fill>
      <patternFill patternType="solid">
        <fgColor theme="9"/>
        <bgColor indexed="64"/>
      </patternFill>
    </fill>
  </fills>
  <borders count="160">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bottom/>
      <diagonal/>
    </border>
    <border>
      <left style="thin">
        <color auto="1"/>
      </left>
      <right style="medium">
        <color auto="1"/>
      </right>
      <top style="thin">
        <color auto="1"/>
      </top>
      <bottom style="thin">
        <color auto="1"/>
      </bottom>
      <diagonal/>
    </border>
    <border>
      <left/>
      <right style="medium">
        <color auto="1"/>
      </right>
      <top/>
      <bottom/>
      <diagonal/>
    </border>
    <border>
      <left style="medium">
        <color auto="1"/>
      </left>
      <right style="thin">
        <color auto="1"/>
      </right>
      <top style="thin">
        <color auto="1"/>
      </top>
      <bottom style="thin">
        <color auto="1"/>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right/>
      <top/>
      <bottom style="medium">
        <color auto="1"/>
      </bottom>
      <diagonal/>
    </border>
    <border>
      <left style="thin">
        <color auto="1"/>
      </left>
      <right style="thin">
        <color auto="1"/>
      </right>
      <top style="thin">
        <color auto="1"/>
      </top>
      <bottom style="medium">
        <color auto="1"/>
      </bottom>
      <diagonal/>
    </border>
    <border>
      <left/>
      <right style="medium">
        <color auto="1"/>
      </right>
      <top/>
      <bottom style="medium">
        <color auto="1"/>
      </bottom>
      <diagonal/>
    </border>
    <border>
      <left style="thin">
        <color indexed="64"/>
      </left>
      <right style="medium">
        <color indexed="64"/>
      </right>
      <top style="thin">
        <color indexed="64"/>
      </top>
      <bottom style="medium">
        <color indexed="64"/>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BFBFBF"/>
      </left>
      <right style="thin">
        <color rgb="FFBFBFBF"/>
      </right>
      <top style="thin">
        <color rgb="FFBFBFBF"/>
      </top>
      <bottom style="thin">
        <color rgb="FFBFBFBF"/>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thin">
        <color rgb="FF053D5F"/>
      </left>
      <right style="thin">
        <color rgb="FF053D5F"/>
      </right>
      <top style="thin">
        <color rgb="FF053D5F"/>
      </top>
      <bottom style="thin">
        <color rgb="FF053D5F"/>
      </bottom>
      <diagonal/>
    </border>
    <border>
      <left style="thin">
        <color rgb="FF053D5F"/>
      </left>
      <right style="thin">
        <color rgb="FF053D5F"/>
      </right>
      <top style="thin">
        <color rgb="FF053D5F"/>
      </top>
      <bottom/>
      <diagonal/>
    </border>
    <border>
      <left style="thin">
        <color rgb="FF053D5F"/>
      </left>
      <right style="thin">
        <color rgb="FF053D5F"/>
      </right>
      <top/>
      <bottom style="thin">
        <color rgb="FF053D5F"/>
      </bottom>
      <diagonal/>
    </border>
    <border>
      <left style="thin">
        <color rgb="FF053D5F"/>
      </left>
      <right/>
      <top/>
      <bottom style="thin">
        <color rgb="FF053D5F"/>
      </bottom>
      <diagonal/>
    </border>
    <border>
      <left style="medium">
        <color indexed="64"/>
      </left>
      <right style="thin">
        <color rgb="FF053D5F"/>
      </right>
      <top/>
      <bottom style="thin">
        <color rgb="FF053D5F"/>
      </bottom>
      <diagonal/>
    </border>
    <border>
      <left style="thin">
        <color rgb="FF053D5F"/>
      </left>
      <right style="medium">
        <color indexed="64"/>
      </right>
      <top/>
      <bottom style="thin">
        <color rgb="FF053D5F"/>
      </bottom>
      <diagonal/>
    </border>
    <border>
      <left/>
      <right style="thin">
        <color rgb="FF053D5F"/>
      </right>
      <top style="thin">
        <color rgb="FF053D5F"/>
      </top>
      <bottom style="thin">
        <color rgb="FF053D5F"/>
      </bottom>
      <diagonal/>
    </border>
    <border>
      <left style="thin">
        <color indexed="64"/>
      </left>
      <right style="thin">
        <color rgb="FF053D5F"/>
      </right>
      <top style="thin">
        <color indexed="64"/>
      </top>
      <bottom style="thin">
        <color rgb="FF053D5F"/>
      </bottom>
      <diagonal/>
    </border>
    <border>
      <left style="thin">
        <color rgb="FF053D5F"/>
      </left>
      <right style="thin">
        <color rgb="FF053D5F"/>
      </right>
      <top style="thin">
        <color indexed="64"/>
      </top>
      <bottom style="thin">
        <color rgb="FF053D5F"/>
      </bottom>
      <diagonal/>
    </border>
    <border>
      <left style="thin">
        <color rgb="FF053D5F"/>
      </left>
      <right style="thin">
        <color indexed="64"/>
      </right>
      <top style="thin">
        <color rgb="FF053D5F"/>
      </top>
      <bottom style="thin">
        <color rgb="FF053D5F"/>
      </bottom>
      <diagonal/>
    </border>
    <border>
      <left style="thin">
        <color rgb="FF053D5F"/>
      </left>
      <right style="thin">
        <color rgb="FF053D5F"/>
      </right>
      <top style="thin">
        <color rgb="FF053D5F"/>
      </top>
      <bottom style="thin">
        <color indexed="64"/>
      </bottom>
      <diagonal/>
    </border>
    <border>
      <left style="thin">
        <color rgb="FF053D5F"/>
      </left>
      <right/>
      <top style="thin">
        <color indexed="64"/>
      </top>
      <bottom style="thin">
        <color rgb="FF053D5F"/>
      </bottom>
      <diagonal/>
    </border>
    <border>
      <left style="thin">
        <color rgb="FF053D5F"/>
      </left>
      <right/>
      <top style="thin">
        <color rgb="FF053D5F"/>
      </top>
      <bottom style="thin">
        <color rgb="FF053D5F"/>
      </bottom>
      <diagonal/>
    </border>
    <border>
      <left style="thin">
        <color rgb="FF053D5F"/>
      </left>
      <right/>
      <top style="thin">
        <color rgb="FF053D5F"/>
      </top>
      <bottom style="thin">
        <color indexed="64"/>
      </bottom>
      <diagonal/>
    </border>
    <border>
      <left style="thin">
        <color indexed="64"/>
      </left>
      <right style="thin">
        <color rgb="FF053D5F"/>
      </right>
      <top style="thin">
        <color rgb="FF053D5F"/>
      </top>
      <bottom style="thin">
        <color rgb="FF053D5F"/>
      </bottom>
      <diagonal/>
    </border>
    <border>
      <left style="thin">
        <color rgb="FF053D5F"/>
      </left>
      <right style="medium">
        <color indexed="64"/>
      </right>
      <top style="thin">
        <color rgb="FF053D5F"/>
      </top>
      <bottom style="thin">
        <color rgb="FF053D5F"/>
      </bottom>
      <diagonal/>
    </border>
    <border>
      <left style="thin">
        <color rgb="FF053D5F"/>
      </left>
      <right style="thin">
        <color indexed="64"/>
      </right>
      <top style="thin">
        <color indexed="64"/>
      </top>
      <bottom style="thin">
        <color rgb="FF053D5F"/>
      </bottom>
      <diagonal/>
    </border>
    <border>
      <left style="thin">
        <color indexed="64"/>
      </left>
      <right style="thin">
        <color rgb="FF053D5F"/>
      </right>
      <top style="thin">
        <color rgb="FF053D5F"/>
      </top>
      <bottom style="thin">
        <color indexed="64"/>
      </bottom>
      <diagonal/>
    </border>
    <border>
      <left style="thin">
        <color rgb="FF053D5F"/>
      </left>
      <right style="thin">
        <color indexed="64"/>
      </right>
      <top style="thin">
        <color rgb="FF053D5F"/>
      </top>
      <bottom style="thin">
        <color indexed="64"/>
      </bottom>
      <diagonal/>
    </border>
    <border>
      <left style="thin">
        <color rgb="FF053D5F"/>
      </left>
      <right style="thin">
        <color rgb="FF053D5F"/>
      </right>
      <top/>
      <bottom/>
      <diagonal/>
    </border>
    <border>
      <left style="thin">
        <color rgb="FF053D5F"/>
      </left>
      <right/>
      <top style="thin">
        <color rgb="FF053D5F"/>
      </top>
      <bottom/>
      <diagonal/>
    </border>
    <border>
      <left style="thin">
        <color rgb="FF053D5F"/>
      </left>
      <right/>
      <top/>
      <bottom/>
      <diagonal/>
    </border>
    <border>
      <left/>
      <right style="thin">
        <color rgb="FF053D5F"/>
      </right>
      <top style="thin">
        <color indexed="64"/>
      </top>
      <bottom style="thin">
        <color rgb="FF053D5F"/>
      </bottom>
      <diagonal/>
    </border>
    <border>
      <left style="thin">
        <color rgb="FF053D5F"/>
      </left>
      <right style="medium">
        <color indexed="64"/>
      </right>
      <top style="thin">
        <color indexed="64"/>
      </top>
      <bottom style="thin">
        <color rgb="FF053D5F"/>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top style="medium">
        <color auto="1"/>
      </top>
      <bottom/>
      <diagonal/>
    </border>
    <border>
      <left style="medium">
        <color auto="1"/>
      </left>
      <right/>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medium">
        <color auto="1"/>
      </left>
      <right/>
      <top style="medium">
        <color auto="1"/>
      </top>
      <bottom style="medium">
        <color auto="1"/>
      </bottom>
      <diagonal/>
    </border>
    <border>
      <left style="medium">
        <color auto="1"/>
      </left>
      <right style="thin">
        <color auto="1"/>
      </right>
      <top style="thin">
        <color auto="1"/>
      </top>
      <bottom/>
      <diagonal/>
    </border>
    <border>
      <left style="medium">
        <color auto="1"/>
      </left>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top style="medium">
        <color auto="1"/>
      </top>
      <bottom style="thin">
        <color auto="1"/>
      </bottom>
      <diagonal/>
    </border>
    <border>
      <left style="thin">
        <color auto="1"/>
      </left>
      <right/>
      <top style="medium">
        <color auto="1"/>
      </top>
      <bottom/>
      <diagonal/>
    </border>
    <border>
      <left style="thin">
        <color auto="1"/>
      </left>
      <right/>
      <top style="medium">
        <color auto="1"/>
      </top>
      <bottom style="medium">
        <color auto="1"/>
      </bottom>
      <diagonal/>
    </border>
    <border>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right style="thin">
        <color auto="1"/>
      </right>
      <top style="thin">
        <color auto="1"/>
      </top>
      <bottom style="medium">
        <color auto="1"/>
      </bottom>
      <diagonal/>
    </border>
    <border>
      <left/>
      <right/>
      <top style="thin">
        <color auto="1"/>
      </top>
      <bottom style="medium">
        <color auto="1"/>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theme="9"/>
      </left>
      <right style="thin">
        <color theme="9"/>
      </right>
      <top style="thin">
        <color theme="9"/>
      </top>
      <bottom style="thin">
        <color theme="9"/>
      </bottom>
      <diagonal/>
    </border>
    <border>
      <left style="thin">
        <color theme="9"/>
      </left>
      <right/>
      <top style="thin">
        <color theme="9"/>
      </top>
      <bottom style="thin">
        <color theme="9"/>
      </bottom>
      <diagonal/>
    </border>
    <border>
      <left style="thin">
        <color theme="9"/>
      </left>
      <right style="thin">
        <color theme="9"/>
      </right>
      <top/>
      <bottom style="medium">
        <color theme="9"/>
      </bottom>
      <diagonal/>
    </border>
    <border>
      <left style="thin">
        <color theme="9"/>
      </left>
      <right/>
      <top/>
      <bottom style="medium">
        <color theme="9"/>
      </bottom>
      <diagonal/>
    </border>
    <border>
      <left style="thin">
        <color theme="9"/>
      </left>
      <right style="thin">
        <color theme="9"/>
      </right>
      <top style="thin">
        <color theme="9"/>
      </top>
      <bottom/>
      <diagonal/>
    </border>
    <border>
      <left style="thin">
        <color theme="9"/>
      </left>
      <right/>
      <top style="thin">
        <color theme="9"/>
      </top>
      <bottom/>
      <diagonal/>
    </border>
    <border>
      <left style="medium">
        <color theme="0"/>
      </left>
      <right style="medium">
        <color theme="0"/>
      </right>
      <top style="medium">
        <color theme="0"/>
      </top>
      <bottom style="medium">
        <color theme="0"/>
      </bottom>
      <diagonal/>
    </border>
    <border>
      <left style="thin">
        <color theme="0"/>
      </left>
      <right style="thin">
        <color theme="0"/>
      </right>
      <top style="thin">
        <color theme="0"/>
      </top>
      <bottom style="thin">
        <color theme="0"/>
      </bottom>
      <diagonal/>
    </border>
    <border>
      <left style="thin">
        <color theme="0"/>
      </left>
      <right style="thin">
        <color indexed="64"/>
      </right>
      <top style="thin">
        <color theme="0"/>
      </top>
      <bottom style="thin">
        <color theme="0"/>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theme="0"/>
      </top>
      <bottom/>
      <diagonal/>
    </border>
    <border>
      <left/>
      <right style="thin">
        <color theme="0"/>
      </right>
      <top/>
      <bottom/>
      <diagonal/>
    </border>
    <border>
      <left/>
      <right/>
      <top/>
      <bottom style="thin">
        <color theme="0"/>
      </bottom>
      <diagonal/>
    </border>
    <border>
      <left/>
      <right/>
      <top style="thin">
        <color theme="0"/>
      </top>
      <bottom style="thin">
        <color theme="0"/>
      </bottom>
      <diagonal/>
    </border>
    <border>
      <left style="thin">
        <color theme="0"/>
      </left>
      <right style="thin">
        <color theme="0"/>
      </right>
      <top/>
      <bottom/>
      <diagonal/>
    </border>
    <border>
      <left style="thin">
        <color indexed="64"/>
      </left>
      <right style="thin">
        <color theme="0"/>
      </right>
      <top/>
      <bottom style="thin">
        <color theme="0"/>
      </bottom>
      <diagonal/>
    </border>
    <border>
      <left/>
      <right/>
      <top style="thin">
        <color theme="9"/>
      </top>
      <bottom/>
      <diagonal/>
    </border>
    <border>
      <left/>
      <right style="thin">
        <color theme="9"/>
      </right>
      <top style="thin">
        <color theme="9"/>
      </top>
      <bottom/>
      <diagonal/>
    </border>
    <border>
      <left style="thin">
        <color rgb="FF008080"/>
      </left>
      <right style="thin">
        <color rgb="FF008080"/>
      </right>
      <top style="thin">
        <color rgb="FF008080"/>
      </top>
      <bottom style="thin">
        <color rgb="FF008080"/>
      </bottom>
      <diagonal/>
    </border>
    <border>
      <left style="thin">
        <color theme="0"/>
      </left>
      <right style="thin">
        <color rgb="FF008080"/>
      </right>
      <top style="thin">
        <color theme="0"/>
      </top>
      <bottom style="thin">
        <color theme="0"/>
      </bottom>
      <diagonal/>
    </border>
    <border>
      <left style="thin">
        <color theme="0"/>
      </left>
      <right style="thin">
        <color theme="0"/>
      </right>
      <top style="thin">
        <color theme="0"/>
      </top>
      <bottom style="thin">
        <color rgb="FF008080"/>
      </bottom>
      <diagonal/>
    </border>
    <border>
      <left style="thin">
        <color rgb="FF008080"/>
      </left>
      <right style="thin">
        <color theme="0"/>
      </right>
      <top style="thin">
        <color theme="0"/>
      </top>
      <bottom style="thin">
        <color theme="0"/>
      </bottom>
      <diagonal/>
    </border>
    <border>
      <left style="thin">
        <color rgb="FF008080"/>
      </left>
      <right style="thin">
        <color theme="0"/>
      </right>
      <top style="thin">
        <color theme="0"/>
      </top>
      <bottom style="thin">
        <color rgb="FF008080"/>
      </bottom>
      <diagonal/>
    </border>
    <border>
      <left style="medium">
        <color rgb="FF008080"/>
      </left>
      <right/>
      <top style="medium">
        <color rgb="FF008080"/>
      </top>
      <bottom/>
      <diagonal/>
    </border>
    <border>
      <left/>
      <right/>
      <top style="medium">
        <color rgb="FF008080"/>
      </top>
      <bottom/>
      <diagonal/>
    </border>
    <border>
      <left/>
      <right style="medium">
        <color rgb="FF008080"/>
      </right>
      <top style="medium">
        <color rgb="FF008080"/>
      </top>
      <bottom/>
      <diagonal/>
    </border>
    <border>
      <left style="medium">
        <color rgb="FF008080"/>
      </left>
      <right/>
      <top/>
      <bottom/>
      <diagonal/>
    </border>
    <border>
      <left/>
      <right style="medium">
        <color rgb="FF008080"/>
      </right>
      <top/>
      <bottom/>
      <diagonal/>
    </border>
    <border>
      <left style="medium">
        <color rgb="FF008080"/>
      </left>
      <right/>
      <top/>
      <bottom style="medium">
        <color rgb="FF008080"/>
      </bottom>
      <diagonal/>
    </border>
    <border>
      <left/>
      <right/>
      <top/>
      <bottom style="medium">
        <color rgb="FF008080"/>
      </bottom>
      <diagonal/>
    </border>
    <border>
      <left/>
      <right style="medium">
        <color rgb="FF008080"/>
      </right>
      <top/>
      <bottom style="medium">
        <color rgb="FF008080"/>
      </bottom>
      <diagonal/>
    </border>
    <border>
      <left style="thin">
        <color theme="0"/>
      </left>
      <right style="thin">
        <color theme="0"/>
      </right>
      <top style="thin">
        <color theme="0"/>
      </top>
      <bottom style="medium">
        <color rgb="FF008080"/>
      </bottom>
      <diagonal/>
    </border>
    <border>
      <left style="thin">
        <color theme="0"/>
      </left>
      <right style="thin">
        <color rgb="FF008080"/>
      </right>
      <top style="thin">
        <color theme="0"/>
      </top>
      <bottom/>
      <diagonal/>
    </border>
    <border>
      <left style="medium">
        <color rgb="FF008080"/>
      </left>
      <right style="thin">
        <color theme="0"/>
      </right>
      <top style="medium">
        <color rgb="FF008080"/>
      </top>
      <bottom style="thin">
        <color theme="0"/>
      </bottom>
      <diagonal/>
    </border>
    <border>
      <left style="thin">
        <color theme="0"/>
      </left>
      <right style="thin">
        <color theme="0"/>
      </right>
      <top style="medium">
        <color rgb="FF008080"/>
      </top>
      <bottom style="thin">
        <color theme="0"/>
      </bottom>
      <diagonal/>
    </border>
    <border>
      <left style="thin">
        <color theme="0"/>
      </left>
      <right style="medium">
        <color rgb="FF008080"/>
      </right>
      <top style="medium">
        <color rgb="FF008080"/>
      </top>
      <bottom style="thin">
        <color theme="0"/>
      </bottom>
      <diagonal/>
    </border>
    <border>
      <left style="medium">
        <color rgb="FF008080"/>
      </left>
      <right style="thin">
        <color theme="0"/>
      </right>
      <top style="thin">
        <color theme="0"/>
      </top>
      <bottom style="thin">
        <color theme="0"/>
      </bottom>
      <diagonal/>
    </border>
    <border>
      <left style="thin">
        <color theme="0"/>
      </left>
      <right style="medium">
        <color rgb="FF008080"/>
      </right>
      <top style="thin">
        <color theme="0"/>
      </top>
      <bottom style="thin">
        <color theme="0"/>
      </bottom>
      <diagonal/>
    </border>
    <border>
      <left style="medium">
        <color rgb="FF008080"/>
      </left>
      <right style="thin">
        <color theme="0"/>
      </right>
      <top style="thin">
        <color theme="0"/>
      </top>
      <bottom style="medium">
        <color rgb="FF008080"/>
      </bottom>
      <diagonal/>
    </border>
    <border>
      <left style="thin">
        <color theme="0"/>
      </left>
      <right style="medium">
        <color rgb="FF008080"/>
      </right>
      <top style="thin">
        <color theme="0"/>
      </top>
      <bottom style="medium">
        <color rgb="FF008080"/>
      </bottom>
      <diagonal/>
    </border>
    <border>
      <left style="thin">
        <color rgb="FF008080"/>
      </left>
      <right/>
      <top style="thin">
        <color rgb="FF008080"/>
      </top>
      <bottom/>
      <diagonal/>
    </border>
    <border>
      <left/>
      <right/>
      <top style="thin">
        <color rgb="FF008080"/>
      </top>
      <bottom/>
      <diagonal/>
    </border>
    <border>
      <left/>
      <right style="thin">
        <color rgb="FF008080"/>
      </right>
      <top style="thin">
        <color rgb="FF008080"/>
      </top>
      <bottom/>
      <diagonal/>
    </border>
    <border>
      <left style="thin">
        <color rgb="FF008080"/>
      </left>
      <right/>
      <top/>
      <bottom/>
      <diagonal/>
    </border>
    <border>
      <left/>
      <right style="thin">
        <color rgb="FF008080"/>
      </right>
      <top/>
      <bottom/>
      <diagonal/>
    </border>
    <border>
      <left style="thin">
        <color rgb="FF008080"/>
      </left>
      <right/>
      <top/>
      <bottom style="thin">
        <color rgb="FF008080"/>
      </bottom>
      <diagonal/>
    </border>
    <border>
      <left/>
      <right/>
      <top/>
      <bottom style="thin">
        <color rgb="FF008080"/>
      </bottom>
      <diagonal/>
    </border>
    <border>
      <left/>
      <right style="thin">
        <color rgb="FF008080"/>
      </right>
      <top/>
      <bottom style="thin">
        <color rgb="FF008080"/>
      </bottom>
      <diagonal/>
    </border>
    <border>
      <left style="thin">
        <color theme="0"/>
      </left>
      <right style="thin">
        <color rgb="FF008080"/>
      </right>
      <top/>
      <bottom/>
      <diagonal/>
    </border>
    <border>
      <left style="thin">
        <color theme="0"/>
      </left>
      <right style="thin">
        <color rgb="FF008080"/>
      </right>
      <top/>
      <bottom style="thin">
        <color theme="0"/>
      </bottom>
      <diagonal/>
    </border>
    <border>
      <left style="thin">
        <color rgb="FF008080"/>
      </left>
      <right style="thin">
        <color theme="0"/>
      </right>
      <top/>
      <bottom style="thin">
        <color theme="0"/>
      </bottom>
      <diagonal/>
    </border>
    <border>
      <left style="medium">
        <color rgb="FF008080"/>
      </left>
      <right style="thin">
        <color theme="0"/>
      </right>
      <top/>
      <bottom style="thin">
        <color theme="0"/>
      </bottom>
      <diagonal/>
    </border>
    <border>
      <left style="thin">
        <color theme="0"/>
      </left>
      <right style="medium">
        <color rgb="FF008080"/>
      </right>
      <top/>
      <bottom style="thin">
        <color theme="0"/>
      </bottom>
      <diagonal/>
    </border>
    <border>
      <left style="medium">
        <color rgb="FF008080"/>
      </left>
      <right style="thin">
        <color theme="0"/>
      </right>
      <top style="thin">
        <color theme="0"/>
      </top>
      <bottom style="thin">
        <color rgb="FF008080"/>
      </bottom>
      <diagonal/>
    </border>
    <border>
      <left style="thin">
        <color theme="0"/>
      </left>
      <right style="medium">
        <color rgb="FF008080"/>
      </right>
      <top style="thin">
        <color theme="0"/>
      </top>
      <bottom style="thin">
        <color rgb="FF008080"/>
      </bottom>
      <diagonal/>
    </border>
    <border>
      <left style="medium">
        <color rgb="FF008080"/>
      </left>
      <right style="thin">
        <color theme="0"/>
      </right>
      <top/>
      <bottom style="medium">
        <color rgb="FF008080"/>
      </bottom>
      <diagonal/>
    </border>
    <border>
      <left style="thin">
        <color theme="0"/>
      </left>
      <right style="thin">
        <color theme="0"/>
      </right>
      <top/>
      <bottom style="medium">
        <color rgb="FF008080"/>
      </bottom>
      <diagonal/>
    </border>
    <border>
      <left style="thin">
        <color theme="0"/>
      </left>
      <right style="medium">
        <color rgb="FF008080"/>
      </right>
      <top/>
      <bottom style="medium">
        <color rgb="FF008080"/>
      </bottom>
      <diagonal/>
    </border>
    <border>
      <left style="thin">
        <color rgb="FF008080"/>
      </left>
      <right style="thin">
        <color theme="0"/>
      </right>
      <top/>
      <bottom/>
      <diagonal/>
    </border>
    <border>
      <left style="thin">
        <color theme="4" tint="0.39997558519241921"/>
      </left>
      <right/>
      <top/>
      <bottom style="thin">
        <color theme="4" tint="0.39997558519241921"/>
      </bottom>
      <diagonal/>
    </border>
    <border>
      <left/>
      <right/>
      <top/>
      <bottom style="thin">
        <color theme="4" tint="0.39997558519241921"/>
      </bottom>
      <diagonal/>
    </border>
    <border>
      <left/>
      <right style="thin">
        <color theme="4" tint="0.39997558519241921"/>
      </right>
      <top/>
      <bottom style="thin">
        <color theme="4" tint="0.39997558519241921"/>
      </bottom>
      <diagonal/>
    </border>
    <border>
      <left/>
      <right/>
      <top style="thin">
        <color theme="9"/>
      </top>
      <bottom style="thin">
        <color theme="9"/>
      </bottom>
      <diagonal/>
    </border>
    <border>
      <left/>
      <right/>
      <top/>
      <bottom style="thin">
        <color theme="9"/>
      </bottom>
      <diagonal/>
    </border>
  </borders>
  <cellStyleXfs count="126">
    <xf numFmtId="0" fontId="0" fillId="0" borderId="0"/>
    <xf numFmtId="0" fontId="2" fillId="0" borderId="0" applyNumberFormat="0" applyFill="0" applyBorder="0" applyAlignment="0" applyProtection="0"/>
    <xf numFmtId="0" fontId="3" fillId="2" borderId="0" applyNumberFormat="0" applyBorder="0" applyAlignment="0" applyProtection="0"/>
    <xf numFmtId="0" fontId="4" fillId="3" borderId="0" applyNumberFormat="0" applyBorder="0" applyAlignment="0" applyProtection="0"/>
    <xf numFmtId="0" fontId="5" fillId="4" borderId="0" applyNumberFormat="0" applyBorder="0" applyAlignment="0" applyProtection="0"/>
    <xf numFmtId="0" fontId="6" fillId="5" borderId="2" applyNumberFormat="0" applyAlignment="0" applyProtection="0"/>
    <xf numFmtId="0" fontId="8"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8"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8"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8"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8"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8"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9" fillId="0" borderId="0"/>
    <xf numFmtId="164" fontId="9" fillId="0" borderId="0" applyFont="0" applyFill="0" applyBorder="0" applyAlignment="0" applyProtection="0"/>
    <xf numFmtId="0" fontId="22" fillId="0" borderId="0" applyNumberFormat="0" applyFill="0" applyBorder="0" applyAlignment="0" applyProtection="0">
      <alignment vertical="top"/>
      <protection locked="0"/>
    </xf>
    <xf numFmtId="0" fontId="25" fillId="0" borderId="0"/>
    <xf numFmtId="0" fontId="11" fillId="38" borderId="17" applyNumberFormat="0" applyAlignment="0" applyProtection="0"/>
    <xf numFmtId="0" fontId="29" fillId="39" borderId="18" applyNumberFormat="0" applyProtection="0">
      <alignment vertical="center"/>
    </xf>
    <xf numFmtId="43" fontId="25" fillId="0" borderId="0" applyFont="0" applyFill="0" applyBorder="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27" fillId="0" borderId="0" applyNumberFormat="0" applyFill="0" applyBorder="0" applyAlignment="0" applyProtection="0">
      <alignment vertical="top"/>
      <protection locked="0"/>
    </xf>
    <xf numFmtId="0" fontId="11" fillId="40" borderId="1" applyNumberFormat="0" applyBorder="0" applyAlignment="0" applyProtection="0"/>
    <xf numFmtId="0" fontId="11" fillId="41" borderId="0">
      <alignment vertical="center"/>
    </xf>
    <xf numFmtId="0" fontId="11" fillId="37" borderId="19" applyNumberFormat="0" applyAlignment="0" applyProtection="0"/>
    <xf numFmtId="0" fontId="25" fillId="6" borderId="3" applyNumberFormat="0" applyFont="0" applyAlignment="0" applyProtection="0"/>
    <xf numFmtId="0" fontId="32" fillId="42" borderId="20" applyNumberFormat="0" applyAlignment="0" applyProtection="0"/>
    <xf numFmtId="0" fontId="11" fillId="43" borderId="21" applyNumberFormat="0" applyProtection="0">
      <alignment vertical="center"/>
    </xf>
    <xf numFmtId="0" fontId="32" fillId="44" borderId="0" applyNumberFormat="0" applyBorder="0" applyAlignment="0" applyProtection="0"/>
    <xf numFmtId="0" fontId="44" fillId="0" borderId="0"/>
    <xf numFmtId="0" fontId="11" fillId="0" borderId="0"/>
    <xf numFmtId="43" fontId="11" fillId="0" borderId="0" applyFont="0" applyFill="0" applyBorder="0" applyAlignment="0" applyProtection="0"/>
    <xf numFmtId="38" fontId="48" fillId="35" borderId="0" applyNumberFormat="0" applyBorder="0" applyAlignment="0" applyProtection="0"/>
    <xf numFmtId="10" fontId="48" fillId="52" borderId="61" applyNumberFormat="0" applyBorder="0" applyAlignment="0" applyProtection="0"/>
    <xf numFmtId="186" fontId="49" fillId="0" borderId="0"/>
    <xf numFmtId="9" fontId="11" fillId="0" borderId="0" applyFont="0" applyFill="0" applyBorder="0" applyAlignment="0" applyProtection="0"/>
    <xf numFmtId="10" fontId="11" fillId="0" borderId="0" applyFont="0" applyFill="0" applyBorder="0" applyAlignment="0" applyProtection="0"/>
    <xf numFmtId="41" fontId="11" fillId="0" borderId="0" applyFont="0" applyFill="0" applyBorder="0" applyAlignment="0" applyProtection="0"/>
    <xf numFmtId="43" fontId="11" fillId="0" borderId="0" applyFont="0" applyFill="0" applyBorder="0" applyAlignment="0" applyProtection="0"/>
    <xf numFmtId="165" fontId="11" fillId="0" borderId="0" applyFont="0" applyFill="0" applyBorder="0" applyAlignment="0" applyProtection="0"/>
    <xf numFmtId="166" fontId="11" fillId="0" borderId="0" applyFont="0" applyFill="0" applyBorder="0" applyAlignment="0" applyProtection="0"/>
    <xf numFmtId="0" fontId="11" fillId="0" borderId="0"/>
    <xf numFmtId="9" fontId="11" fillId="0" borderId="0" applyFont="0" applyFill="0" applyBorder="0" applyAlignment="0" applyProtection="0"/>
    <xf numFmtId="0" fontId="11" fillId="0" borderId="0"/>
    <xf numFmtId="9" fontId="11" fillId="0" borderId="0" applyFont="0" applyFill="0" applyBorder="0" applyAlignment="0" applyProtection="0"/>
    <xf numFmtId="0" fontId="53" fillId="0" borderId="0" applyNumberFormat="0" applyFill="0" applyBorder="0" applyAlignment="0" applyProtection="0"/>
    <xf numFmtId="0" fontId="25" fillId="0" borderId="0"/>
    <xf numFmtId="0" fontId="11" fillId="40" borderId="1" applyNumberFormat="0" applyBorder="0" applyAlignment="0" applyProtection="0"/>
    <xf numFmtId="0" fontId="11" fillId="40" borderId="1" applyNumberFormat="0" applyBorder="0" applyAlignment="0" applyProtection="0"/>
    <xf numFmtId="0" fontId="11" fillId="40" borderId="1" applyNumberFormat="0" applyBorder="0" applyAlignment="0" applyProtection="0"/>
    <xf numFmtId="0" fontId="11" fillId="40" borderId="1" applyNumberFormat="0" applyBorder="0" applyAlignment="0" applyProtection="0"/>
    <xf numFmtId="0" fontId="11" fillId="40" borderId="1" applyNumberFormat="0" applyBorder="0" applyAlignment="0" applyProtection="0"/>
    <xf numFmtId="0" fontId="11" fillId="40" borderId="1" applyNumberFormat="0" applyBorder="0" applyAlignment="0" applyProtection="0"/>
    <xf numFmtId="0" fontId="11" fillId="40" borderId="1" applyNumberFormat="0" applyBorder="0" applyAlignment="0" applyProtection="0"/>
    <xf numFmtId="0" fontId="11" fillId="40" borderId="1" applyNumberFormat="0" applyBorder="0" applyAlignment="0" applyProtection="0"/>
    <xf numFmtId="0" fontId="11" fillId="40" borderId="1" applyNumberFormat="0" applyBorder="0" applyAlignment="0" applyProtection="0"/>
    <xf numFmtId="0" fontId="11" fillId="40" borderId="1" applyNumberFormat="0" applyBorder="0" applyAlignment="0" applyProtection="0"/>
    <xf numFmtId="0" fontId="11" fillId="40" borderId="1" applyNumberFormat="0" applyBorder="0" applyAlignment="0" applyProtection="0"/>
    <xf numFmtId="0" fontId="11" fillId="40" borderId="1" applyNumberFormat="0" applyBorder="0" applyAlignment="0" applyProtection="0"/>
    <xf numFmtId="0" fontId="25" fillId="0" borderId="0"/>
    <xf numFmtId="0" fontId="11" fillId="40" borderId="1" applyNumberFormat="0" applyBorder="0" applyAlignment="0" applyProtection="0"/>
    <xf numFmtId="0" fontId="11" fillId="40" borderId="1" applyNumberFormat="0" applyBorder="0" applyAlignment="0" applyProtection="0"/>
    <xf numFmtId="0" fontId="11" fillId="40" borderId="1" applyNumberFormat="0" applyBorder="0" applyAlignment="0" applyProtection="0"/>
    <xf numFmtId="0" fontId="25" fillId="0" borderId="0"/>
    <xf numFmtId="0" fontId="25" fillId="0" borderId="0"/>
    <xf numFmtId="0" fontId="11" fillId="40" borderId="1" applyNumberFormat="0" applyBorder="0" applyAlignment="0" applyProtection="0"/>
    <xf numFmtId="0" fontId="11" fillId="40" borderId="1" applyNumberFormat="0" applyBorder="0" applyAlignment="0" applyProtection="0"/>
    <xf numFmtId="0" fontId="25" fillId="0" borderId="0"/>
    <xf numFmtId="0" fontId="11" fillId="40" borderId="1" applyNumberFormat="0" applyBorder="0" applyAlignment="0" applyProtection="0"/>
    <xf numFmtId="0" fontId="25" fillId="0" borderId="0"/>
    <xf numFmtId="0" fontId="11" fillId="40" borderId="1" applyNumberFormat="0" applyBorder="0" applyAlignment="0" applyProtection="0"/>
    <xf numFmtId="0" fontId="25" fillId="0" borderId="0"/>
    <xf numFmtId="0" fontId="11" fillId="40" borderId="1" applyNumberFormat="0" applyBorder="0" applyAlignment="0" applyProtection="0"/>
    <xf numFmtId="0" fontId="11" fillId="40" borderId="1" applyNumberFormat="0" applyBorder="0" applyAlignment="0" applyProtection="0"/>
    <xf numFmtId="0" fontId="25" fillId="0" borderId="0"/>
    <xf numFmtId="0" fontId="25" fillId="0" borderId="0"/>
    <xf numFmtId="0" fontId="11" fillId="40" borderId="1" applyNumberFormat="0" applyBorder="0" applyAlignment="0" applyProtection="0"/>
    <xf numFmtId="0" fontId="25" fillId="0" borderId="0"/>
    <xf numFmtId="0" fontId="25" fillId="0" borderId="0"/>
    <xf numFmtId="0" fontId="25" fillId="0" borderId="0"/>
    <xf numFmtId="0" fontId="25" fillId="0" borderId="0"/>
    <xf numFmtId="0" fontId="11" fillId="40" borderId="1" applyNumberFormat="0" applyBorder="0" applyAlignment="0" applyProtection="0"/>
    <xf numFmtId="0" fontId="11" fillId="40" borderId="1" applyNumberFormat="0" applyBorder="0" applyAlignment="0" applyProtection="0"/>
    <xf numFmtId="0" fontId="11" fillId="40" borderId="1" applyNumberFormat="0" applyBorder="0" applyAlignment="0" applyProtection="0"/>
    <xf numFmtId="0" fontId="11" fillId="40" borderId="1" applyNumberFormat="0" applyBorder="0" applyAlignment="0" applyProtection="0"/>
    <xf numFmtId="0" fontId="25" fillId="0" borderId="0"/>
    <xf numFmtId="0" fontId="11" fillId="40" borderId="1" applyNumberFormat="0" applyBorder="0" applyAlignment="0" applyProtection="0"/>
    <xf numFmtId="0" fontId="11" fillId="40" borderId="1"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6" fillId="58" borderId="94">
      <alignment horizontal="left" vertical="top" wrapText="1" indent="1"/>
    </xf>
    <xf numFmtId="0" fontId="25" fillId="0" borderId="0"/>
    <xf numFmtId="0" fontId="11" fillId="40" borderId="1" applyNumberFormat="0" applyBorder="0" applyAlignment="0" applyProtection="0"/>
    <xf numFmtId="0" fontId="11" fillId="0" borderId="0"/>
    <xf numFmtId="9" fontId="11" fillId="0" borderId="0" applyFont="0" applyFill="0" applyBorder="0" applyAlignment="0" applyProtection="0"/>
    <xf numFmtId="43" fontId="1" fillId="0" borderId="0" applyFont="0" applyFill="0" applyBorder="0" applyAlignment="0" applyProtection="0"/>
  </cellStyleXfs>
  <cellXfs count="1053">
    <xf numFmtId="0" fontId="0" fillId="0" borderId="0" xfId="0"/>
    <xf numFmtId="0" fontId="11" fillId="33" borderId="0" xfId="30" applyFont="1" applyFill="1" applyAlignment="1">
      <alignment horizontal="center"/>
    </xf>
    <xf numFmtId="0" fontId="11" fillId="33" borderId="0" xfId="30" applyFont="1" applyFill="1"/>
    <xf numFmtId="0" fontId="12" fillId="33" borderId="0" xfId="30" applyFont="1" applyFill="1"/>
    <xf numFmtId="0" fontId="13" fillId="34" borderId="4" xfId="30" applyFont="1" applyFill="1" applyBorder="1" applyAlignment="1">
      <alignment horizontal="center" vertical="center"/>
    </xf>
    <xf numFmtId="0" fontId="13" fillId="34" borderId="5" xfId="30" applyFont="1" applyFill="1" applyBorder="1" applyAlignment="1">
      <alignment horizontal="center" vertical="center" wrapText="1"/>
    </xf>
    <xf numFmtId="0" fontId="13" fillId="34" borderId="6" xfId="30" applyFont="1" applyFill="1" applyBorder="1" applyAlignment="1">
      <alignment horizontal="center" vertical="center" wrapText="1"/>
    </xf>
    <xf numFmtId="0" fontId="15" fillId="33" borderId="0" xfId="30" applyFont="1" applyFill="1"/>
    <xf numFmtId="0" fontId="12" fillId="33" borderId="0" xfId="30" applyFont="1" applyFill="1" applyAlignment="1">
      <alignment horizontal="center" vertical="center" wrapText="1"/>
    </xf>
    <xf numFmtId="0" fontId="13" fillId="35" borderId="7" xfId="30" applyFont="1" applyFill="1" applyBorder="1" applyAlignment="1">
      <alignment horizontal="center" vertical="center" wrapText="1"/>
    </xf>
    <xf numFmtId="0" fontId="16" fillId="36" borderId="8" xfId="30" applyFont="1" applyFill="1" applyBorder="1" applyAlignment="1">
      <alignment horizontal="center" vertical="top" wrapText="1"/>
    </xf>
    <xf numFmtId="0" fontId="12" fillId="33" borderId="0" xfId="30" applyFont="1" applyFill="1" applyAlignment="1">
      <alignment horizontal="center"/>
    </xf>
    <xf numFmtId="0" fontId="13" fillId="35" borderId="0" xfId="30" applyFont="1" applyFill="1" applyAlignment="1">
      <alignment horizontal="center" vertical="center" wrapText="1"/>
    </xf>
    <xf numFmtId="0" fontId="13" fillId="35" borderId="9" xfId="30" applyFont="1" applyFill="1" applyBorder="1" applyAlignment="1">
      <alignment horizontal="center" vertical="center" wrapText="1"/>
    </xf>
    <xf numFmtId="0" fontId="18" fillId="33" borderId="0" xfId="30" applyFont="1" applyFill="1" applyAlignment="1">
      <alignment horizontal="center"/>
    </xf>
    <xf numFmtId="0" fontId="11" fillId="33" borderId="10" xfId="30" applyFont="1" applyFill="1" applyBorder="1"/>
    <xf numFmtId="167" fontId="11" fillId="0" borderId="8" xfId="31" applyNumberFormat="1" applyFont="1" applyBorder="1"/>
    <xf numFmtId="169" fontId="11" fillId="33" borderId="0" xfId="30" applyNumberFormat="1" applyFont="1" applyFill="1"/>
    <xf numFmtId="0" fontId="11" fillId="0" borderId="10" xfId="30" applyFont="1" applyBorder="1"/>
    <xf numFmtId="170" fontId="11" fillId="33" borderId="0" xfId="30" applyNumberFormat="1" applyFont="1" applyFill="1"/>
    <xf numFmtId="0" fontId="13" fillId="34" borderId="11" xfId="30" applyFont="1" applyFill="1" applyBorder="1" applyAlignment="1">
      <alignment horizontal="center"/>
    </xf>
    <xf numFmtId="169" fontId="13" fillId="35" borderId="0" xfId="31" applyNumberFormat="1" applyFont="1" applyFill="1"/>
    <xf numFmtId="167" fontId="13" fillId="35" borderId="0" xfId="31" applyNumberFormat="1" applyFont="1" applyFill="1"/>
    <xf numFmtId="168" fontId="13" fillId="35" borderId="0" xfId="31" applyNumberFormat="1" applyFont="1" applyFill="1"/>
    <xf numFmtId="167" fontId="13" fillId="35" borderId="9" xfId="31" applyNumberFormat="1" applyFont="1" applyFill="1" applyBorder="1"/>
    <xf numFmtId="169" fontId="19" fillId="33" borderId="0" xfId="30" applyNumberFormat="1" applyFont="1" applyFill="1"/>
    <xf numFmtId="167" fontId="13" fillId="35" borderId="0" xfId="30" applyNumberFormat="1" applyFont="1" applyFill="1"/>
    <xf numFmtId="167" fontId="13" fillId="35" borderId="9" xfId="30" applyNumberFormat="1" applyFont="1" applyFill="1" applyBorder="1"/>
    <xf numFmtId="0" fontId="16" fillId="36" borderId="8" xfId="30" applyFont="1" applyFill="1" applyBorder="1" applyAlignment="1">
      <alignment horizontal="center" vertical="center" wrapText="1"/>
    </xf>
    <xf numFmtId="169" fontId="20" fillId="35" borderId="0" xfId="31" applyNumberFormat="1" applyFont="1" applyFill="1"/>
    <xf numFmtId="169" fontId="21" fillId="35" borderId="0" xfId="31" applyNumberFormat="1" applyFont="1" applyFill="1"/>
    <xf numFmtId="168" fontId="11" fillId="35" borderId="0" xfId="31" applyNumberFormat="1" applyFont="1" applyFill="1"/>
    <xf numFmtId="0" fontId="11" fillId="35" borderId="0" xfId="30" applyFont="1" applyFill="1"/>
    <xf numFmtId="0" fontId="11" fillId="35" borderId="9" xfId="30" applyFont="1" applyFill="1" applyBorder="1"/>
    <xf numFmtId="172" fontId="11" fillId="0" borderId="8" xfId="31" applyNumberFormat="1" applyFont="1" applyBorder="1"/>
    <xf numFmtId="164" fontId="13" fillId="34" borderId="11" xfId="31" applyFont="1" applyFill="1" applyBorder="1" applyAlignment="1">
      <alignment horizontal="center"/>
    </xf>
    <xf numFmtId="171" fontId="11" fillId="35" borderId="0" xfId="31" applyNumberFormat="1" applyFont="1" applyFill="1"/>
    <xf numFmtId="172" fontId="13" fillId="35" borderId="0" xfId="31" applyNumberFormat="1" applyFont="1" applyFill="1"/>
    <xf numFmtId="171" fontId="13" fillId="35" borderId="0" xfId="31" applyNumberFormat="1" applyFont="1" applyFill="1"/>
    <xf numFmtId="171" fontId="13" fillId="35" borderId="9" xfId="31" applyNumberFormat="1" applyFont="1" applyFill="1" applyBorder="1"/>
    <xf numFmtId="171" fontId="11" fillId="0" borderId="8" xfId="31" applyNumberFormat="1" applyFont="1" applyBorder="1"/>
    <xf numFmtId="0" fontId="19" fillId="33" borderId="0" xfId="30" applyFont="1" applyFill="1"/>
    <xf numFmtId="169" fontId="11" fillId="35" borderId="0" xfId="31" applyNumberFormat="1" applyFont="1" applyFill="1"/>
    <xf numFmtId="0" fontId="11" fillId="0" borderId="10" xfId="30" applyFont="1" applyBorder="1" applyAlignment="1">
      <alignment vertical="center"/>
    </xf>
    <xf numFmtId="0" fontId="12" fillId="33" borderId="0" xfId="30" applyFont="1" applyFill="1" applyAlignment="1">
      <alignment horizontal="center" vertical="center"/>
    </xf>
    <xf numFmtId="0" fontId="11" fillId="35" borderId="0" xfId="30" applyFont="1" applyFill="1" applyAlignment="1">
      <alignment vertical="center"/>
    </xf>
    <xf numFmtId="0" fontId="11" fillId="35" borderId="9" xfId="30" applyFont="1" applyFill="1" applyBorder="1" applyAlignment="1">
      <alignment vertical="center"/>
    </xf>
    <xf numFmtId="164" fontId="11" fillId="0" borderId="8" xfId="31" applyFont="1" applyBorder="1"/>
    <xf numFmtId="0" fontId="11" fillId="37" borderId="10" xfId="30" applyFont="1" applyFill="1" applyBorder="1"/>
    <xf numFmtId="164" fontId="11" fillId="37" borderId="8" xfId="31" applyFont="1" applyFill="1" applyBorder="1"/>
    <xf numFmtId="0" fontId="23" fillId="33" borderId="0" xfId="32" applyFont="1" applyFill="1" applyAlignment="1" applyProtection="1"/>
    <xf numFmtId="164" fontId="11" fillId="35" borderId="0" xfId="30" applyNumberFormat="1" applyFont="1" applyFill="1" applyAlignment="1">
      <alignment vertical="center"/>
    </xf>
    <xf numFmtId="164" fontId="20" fillId="35" borderId="0" xfId="31" applyFont="1" applyFill="1" applyAlignment="1">
      <alignment vertical="center"/>
    </xf>
    <xf numFmtId="164" fontId="20" fillId="35" borderId="9" xfId="31" applyFont="1" applyFill="1" applyBorder="1" applyAlignment="1">
      <alignment vertical="center"/>
    </xf>
    <xf numFmtId="0" fontId="11" fillId="0" borderId="12" xfId="30" applyFont="1" applyBorder="1"/>
    <xf numFmtId="164" fontId="20" fillId="35" borderId="13" xfId="31" applyFont="1" applyFill="1" applyBorder="1" applyAlignment="1">
      <alignment vertical="center"/>
    </xf>
    <xf numFmtId="168" fontId="11" fillId="0" borderId="14" xfId="31" applyNumberFormat="1" applyFont="1" applyBorder="1"/>
    <xf numFmtId="164" fontId="11" fillId="0" borderId="14" xfId="31" applyFont="1" applyBorder="1"/>
    <xf numFmtId="164" fontId="20" fillId="35" borderId="15" xfId="31" applyFont="1" applyFill="1" applyBorder="1" applyAlignment="1">
      <alignment vertical="center"/>
    </xf>
    <xf numFmtId="0" fontId="16" fillId="33" borderId="0" xfId="30" applyFont="1" applyFill="1" applyAlignment="1">
      <alignment vertical="center"/>
    </xf>
    <xf numFmtId="0" fontId="11" fillId="33" borderId="0" xfId="30" applyFont="1" applyFill="1" applyAlignment="1">
      <alignment vertical="center"/>
    </xf>
    <xf numFmtId="164" fontId="11" fillId="33" borderId="0" xfId="30" applyNumberFormat="1" applyFont="1" applyFill="1" applyAlignment="1">
      <alignment vertical="center"/>
    </xf>
    <xf numFmtId="0" fontId="24" fillId="33" borderId="0" xfId="32" applyFont="1" applyFill="1" applyAlignment="1" applyProtection="1"/>
    <xf numFmtId="164" fontId="11" fillId="45" borderId="0" xfId="31" applyFont="1" applyFill="1"/>
    <xf numFmtId="11" fontId="11" fillId="45" borderId="0" xfId="30" applyNumberFormat="1" applyFont="1" applyFill="1"/>
    <xf numFmtId="0" fontId="11" fillId="33" borderId="49" xfId="30" applyFont="1" applyFill="1" applyBorder="1" applyAlignment="1">
      <alignment vertical="center"/>
    </xf>
    <xf numFmtId="164" fontId="11" fillId="0" borderId="50" xfId="31" applyFont="1" applyBorder="1" applyAlignment="1">
      <alignment vertical="center"/>
    </xf>
    <xf numFmtId="0" fontId="11" fillId="33" borderId="51" xfId="30" applyFont="1" applyFill="1" applyBorder="1" applyAlignment="1">
      <alignment horizontal="center"/>
    </xf>
    <xf numFmtId="0" fontId="11" fillId="45" borderId="0" xfId="30" applyFont="1" applyFill="1"/>
    <xf numFmtId="0" fontId="11" fillId="33" borderId="10" xfId="30" applyFont="1" applyFill="1" applyBorder="1" applyAlignment="1">
      <alignment vertical="center"/>
    </xf>
    <xf numFmtId="0" fontId="11" fillId="0" borderId="8" xfId="30" applyFont="1" applyBorder="1" applyAlignment="1">
      <alignment horizontal="center"/>
    </xf>
    <xf numFmtId="0" fontId="20" fillId="33" borderId="0" xfId="30" applyFont="1" applyFill="1" applyAlignment="1">
      <alignment horizontal="center"/>
    </xf>
    <xf numFmtId="0" fontId="11" fillId="33" borderId="8" xfId="30" applyFont="1" applyFill="1" applyBorder="1" applyAlignment="1">
      <alignment horizontal="center"/>
    </xf>
    <xf numFmtId="164" fontId="23" fillId="45" borderId="0" xfId="32" applyNumberFormat="1" applyFont="1" applyFill="1" applyAlignment="1" applyProtection="1"/>
    <xf numFmtId="179" fontId="34" fillId="0" borderId="22" xfId="33" applyNumberFormat="1" applyFont="1" applyBorder="1" applyAlignment="1">
      <alignment horizontal="center"/>
    </xf>
    <xf numFmtId="0" fontId="34" fillId="47" borderId="22" xfId="33" applyFont="1" applyFill="1" applyBorder="1" applyAlignment="1">
      <alignment horizontal="center"/>
    </xf>
    <xf numFmtId="4" fontId="34" fillId="0" borderId="22" xfId="33" applyNumberFormat="1" applyFont="1" applyBorder="1" applyAlignment="1">
      <alignment horizontal="center"/>
    </xf>
    <xf numFmtId="0" fontId="34" fillId="46" borderId="23" xfId="33" applyFont="1" applyFill="1" applyBorder="1"/>
    <xf numFmtId="180" fontId="34" fillId="0" borderId="23" xfId="33" applyNumberFormat="1" applyFont="1" applyBorder="1" applyAlignment="1">
      <alignment horizontal="center"/>
    </xf>
    <xf numFmtId="4" fontId="34" fillId="0" borderId="24" xfId="33" applyNumberFormat="1" applyFont="1" applyBorder="1" applyAlignment="1">
      <alignment horizontal="center"/>
    </xf>
    <xf numFmtId="0" fontId="34" fillId="46" borderId="29" xfId="33" applyFont="1" applyFill="1" applyBorder="1"/>
    <xf numFmtId="4" fontId="34" fillId="0" borderId="30" xfId="33" applyNumberFormat="1" applyFont="1" applyBorder="1" applyAlignment="1">
      <alignment horizontal="center"/>
    </xf>
    <xf numFmtId="4" fontId="34" fillId="0" borderId="38" xfId="33" applyNumberFormat="1" applyFont="1" applyBorder="1" applyAlignment="1">
      <alignment horizontal="center"/>
    </xf>
    <xf numFmtId="0" fontId="34" fillId="46" borderId="36" xfId="33" applyFont="1" applyFill="1" applyBorder="1"/>
    <xf numFmtId="180" fontId="34" fillId="0" borderId="31" xfId="33" applyNumberFormat="1" applyFont="1" applyBorder="1" applyAlignment="1">
      <alignment horizontal="center"/>
    </xf>
    <xf numFmtId="0" fontId="34" fillId="46" borderId="39" xfId="33" applyFont="1" applyFill="1" applyBorder="1"/>
    <xf numFmtId="180" fontId="34" fillId="0" borderId="32" xfId="33" applyNumberFormat="1" applyFont="1" applyBorder="1" applyAlignment="1">
      <alignment horizontal="center"/>
    </xf>
    <xf numFmtId="180" fontId="34" fillId="0" borderId="40" xfId="33" applyNumberFormat="1" applyFont="1" applyBorder="1" applyAlignment="1">
      <alignment horizontal="center"/>
    </xf>
    <xf numFmtId="0" fontId="13" fillId="33" borderId="0" xfId="30" applyFont="1" applyFill="1"/>
    <xf numFmtId="0" fontId="13" fillId="48" borderId="48" xfId="30" applyFont="1" applyFill="1" applyBorder="1" applyAlignment="1">
      <alignment horizontal="center" vertical="top" wrapText="1"/>
    </xf>
    <xf numFmtId="0" fontId="13" fillId="48" borderId="47" xfId="30" applyFont="1" applyFill="1" applyBorder="1" applyAlignment="1">
      <alignment horizontal="center" vertical="top" wrapText="1"/>
    </xf>
    <xf numFmtId="0" fontId="13" fillId="48" borderId="46" xfId="30" applyFont="1" applyFill="1" applyBorder="1" applyAlignment="1">
      <alignment horizontal="center" vertical="top"/>
    </xf>
    <xf numFmtId="0" fontId="11" fillId="33" borderId="0" xfId="30" applyFont="1" applyFill="1" applyAlignment="1">
      <alignment horizontal="center" vertical="center"/>
    </xf>
    <xf numFmtId="0" fontId="34" fillId="0" borderId="22" xfId="33" applyFont="1" applyBorder="1" applyAlignment="1">
      <alignment horizontal="left" wrapText="1"/>
    </xf>
    <xf numFmtId="180" fontId="34" fillId="0" borderId="22" xfId="33" applyNumberFormat="1" applyFont="1" applyBorder="1" applyAlignment="1">
      <alignment horizontal="center"/>
    </xf>
    <xf numFmtId="0" fontId="34" fillId="45" borderId="0" xfId="33" applyFont="1" applyFill="1" applyAlignment="1">
      <alignment horizontal="center"/>
    </xf>
    <xf numFmtId="0" fontId="34" fillId="46" borderId="22" xfId="33" applyFont="1" applyFill="1" applyBorder="1" applyAlignment="1">
      <alignment horizontal="center"/>
    </xf>
    <xf numFmtId="0" fontId="34" fillId="47" borderId="23" xfId="33" applyFont="1" applyFill="1" applyBorder="1" applyAlignment="1">
      <alignment horizontal="center"/>
    </xf>
    <xf numFmtId="0" fontId="34" fillId="46" borderId="22" xfId="33" applyFont="1" applyFill="1" applyBorder="1" applyAlignment="1">
      <alignment horizontal="left"/>
    </xf>
    <xf numFmtId="180" fontId="34" fillId="0" borderId="22" xfId="33" applyNumberFormat="1" applyFont="1" applyBorder="1" applyAlignment="1">
      <alignment horizontal="center" vertical="center"/>
    </xf>
    <xf numFmtId="0" fontId="11" fillId="33" borderId="12" xfId="30" applyFont="1" applyFill="1" applyBorder="1" applyAlignment="1">
      <alignment vertical="center"/>
    </xf>
    <xf numFmtId="164" fontId="11" fillId="0" borderId="14" xfId="31" applyFont="1" applyBorder="1" applyAlignment="1">
      <alignment vertical="center"/>
    </xf>
    <xf numFmtId="0" fontId="11" fillId="33" borderId="16" xfId="30" applyFont="1" applyFill="1" applyBorder="1" applyAlignment="1">
      <alignment horizontal="center"/>
    </xf>
    <xf numFmtId="0" fontId="11" fillId="45" borderId="0" xfId="30" applyFont="1" applyFill="1" applyAlignment="1">
      <alignment vertical="center"/>
    </xf>
    <xf numFmtId="0" fontId="20" fillId="33" borderId="0" xfId="30" applyFont="1" applyFill="1" applyAlignment="1">
      <alignment wrapText="1"/>
    </xf>
    <xf numFmtId="0" fontId="20" fillId="33" borderId="0" xfId="30" applyFont="1" applyFill="1"/>
    <xf numFmtId="0" fontId="9" fillId="0" borderId="0" xfId="30"/>
    <xf numFmtId="0" fontId="20" fillId="0" borderId="0" xfId="30" applyFont="1"/>
    <xf numFmtId="0" fontId="13" fillId="35" borderId="46" xfId="30" applyFont="1" applyFill="1" applyBorder="1" applyAlignment="1">
      <alignment horizontal="center" vertical="center"/>
    </xf>
    <xf numFmtId="0" fontId="13" fillId="35" borderId="47" xfId="30" applyFont="1" applyFill="1" applyBorder="1" applyAlignment="1">
      <alignment horizontal="center" vertical="center"/>
    </xf>
    <xf numFmtId="0" fontId="13" fillId="35" borderId="47" xfId="30" applyFont="1" applyFill="1" applyBorder="1" applyAlignment="1">
      <alignment horizontal="center" vertical="center" wrapText="1"/>
    </xf>
    <xf numFmtId="0" fontId="13" fillId="35" borderId="48" xfId="30" applyFont="1" applyFill="1" applyBorder="1" applyAlignment="1">
      <alignment horizontal="center" vertical="center" wrapText="1"/>
    </xf>
    <xf numFmtId="181" fontId="11" fillId="33" borderId="0" xfId="30" applyNumberFormat="1" applyFont="1" applyFill="1"/>
    <xf numFmtId="0" fontId="11" fillId="33" borderId="52" xfId="30" applyFont="1" applyFill="1" applyBorder="1"/>
    <xf numFmtId="0" fontId="11" fillId="33" borderId="5" xfId="30" applyFont="1" applyFill="1" applyBorder="1" applyAlignment="1">
      <alignment horizontal="left"/>
    </xf>
    <xf numFmtId="181" fontId="11" fillId="0" borderId="5" xfId="31" applyNumberFormat="1" applyFont="1" applyBorder="1"/>
    <xf numFmtId="181" fontId="11" fillId="0" borderId="6" xfId="31" applyNumberFormat="1" applyFont="1" applyBorder="1"/>
    <xf numFmtId="0" fontId="11" fillId="33" borderId="7" xfId="30" applyFont="1" applyFill="1" applyBorder="1"/>
    <xf numFmtId="0" fontId="11" fillId="33" borderId="50" xfId="30" applyFont="1" applyFill="1" applyBorder="1" applyAlignment="1">
      <alignment horizontal="left"/>
    </xf>
    <xf numFmtId="181" fontId="11" fillId="0" borderId="50" xfId="31" applyNumberFormat="1" applyFont="1" applyBorder="1"/>
    <xf numFmtId="181" fontId="11" fillId="0" borderId="51" xfId="31" applyNumberFormat="1" applyFont="1" applyBorder="1"/>
    <xf numFmtId="181" fontId="11" fillId="0" borderId="8" xfId="31" applyNumberFormat="1" applyFont="1" applyBorder="1"/>
    <xf numFmtId="181" fontId="19" fillId="0" borderId="8" xfId="31" applyNumberFormat="1" applyFont="1" applyBorder="1"/>
    <xf numFmtId="0" fontId="11" fillId="33" borderId="53" xfId="30" applyFont="1" applyFill="1" applyBorder="1"/>
    <xf numFmtId="0" fontId="11" fillId="33" borderId="14" xfId="30" applyFont="1" applyFill="1" applyBorder="1" applyAlignment="1">
      <alignment horizontal="left"/>
    </xf>
    <xf numFmtId="181" fontId="11" fillId="0" borderId="14" xfId="31" applyNumberFormat="1" applyFont="1" applyBorder="1"/>
    <xf numFmtId="181" fontId="11" fillId="0" borderId="16" xfId="31" applyNumberFormat="1" applyFont="1" applyBorder="1"/>
    <xf numFmtId="181" fontId="11" fillId="33" borderId="5" xfId="31" applyNumberFormat="1" applyFont="1" applyFill="1" applyBorder="1" applyAlignment="1">
      <alignment horizontal="right"/>
    </xf>
    <xf numFmtId="181" fontId="11" fillId="33" borderId="6" xfId="31" applyNumberFormat="1" applyFont="1" applyFill="1" applyBorder="1" applyAlignment="1">
      <alignment horizontal="right"/>
    </xf>
    <xf numFmtId="181" fontId="11" fillId="33" borderId="14" xfId="31" applyNumberFormat="1" applyFont="1" applyFill="1" applyBorder="1" applyAlignment="1">
      <alignment horizontal="right"/>
    </xf>
    <xf numFmtId="181" fontId="11" fillId="33" borderId="16" xfId="31" applyNumberFormat="1" applyFont="1" applyFill="1" applyBorder="1" applyAlignment="1">
      <alignment horizontal="right"/>
    </xf>
    <xf numFmtId="0" fontId="13" fillId="35" borderId="56" xfId="30" applyFont="1" applyFill="1" applyBorder="1" applyAlignment="1">
      <alignment horizontal="center" vertical="center" wrapText="1"/>
    </xf>
    <xf numFmtId="181" fontId="11" fillId="0" borderId="5" xfId="31" applyNumberFormat="1" applyFont="1" applyBorder="1" applyAlignment="1">
      <alignment horizontal="right"/>
    </xf>
    <xf numFmtId="181" fontId="11" fillId="0" borderId="6" xfId="31" applyNumberFormat="1" applyFont="1" applyBorder="1" applyAlignment="1">
      <alignment horizontal="right"/>
    </xf>
    <xf numFmtId="0" fontId="40" fillId="33" borderId="0" xfId="30" applyFont="1" applyFill="1"/>
    <xf numFmtId="181" fontId="11" fillId="0" borderId="8" xfId="31" applyNumberFormat="1" applyFont="1" applyBorder="1" applyAlignment="1">
      <alignment horizontal="right"/>
    </xf>
    <xf numFmtId="0" fontId="11" fillId="33" borderId="9" xfId="30" applyFont="1" applyFill="1" applyBorder="1"/>
    <xf numFmtId="169" fontId="11" fillId="0" borderId="8" xfId="31" applyNumberFormat="1" applyFont="1" applyBorder="1" applyAlignment="1">
      <alignment horizontal="right"/>
    </xf>
    <xf numFmtId="0" fontId="11" fillId="33" borderId="58" xfId="30" applyFont="1" applyFill="1" applyBorder="1"/>
    <xf numFmtId="0" fontId="11" fillId="35" borderId="59" xfId="30" applyFont="1" applyFill="1" applyBorder="1"/>
    <xf numFmtId="169" fontId="11" fillId="0" borderId="59" xfId="31" applyNumberFormat="1" applyFont="1" applyBorder="1" applyAlignment="1">
      <alignment horizontal="right"/>
    </xf>
    <xf numFmtId="169" fontId="11" fillId="0" borderId="60" xfId="31" applyNumberFormat="1" applyFont="1" applyBorder="1" applyAlignment="1">
      <alignment horizontal="right"/>
    </xf>
    <xf numFmtId="0" fontId="16" fillId="33" borderId="0" xfId="30" applyFont="1" applyFill="1" applyAlignment="1">
      <alignment vertical="top" wrapText="1"/>
    </xf>
    <xf numFmtId="0" fontId="13" fillId="35" borderId="46" xfId="30" applyFont="1" applyFill="1" applyBorder="1" applyAlignment="1">
      <alignment horizontal="center" vertical="center" wrapText="1"/>
    </xf>
    <xf numFmtId="164" fontId="11" fillId="33" borderId="0" xfId="30" applyNumberFormat="1" applyFont="1" applyFill="1"/>
    <xf numFmtId="0" fontId="11" fillId="33" borderId="49" xfId="30" applyFont="1" applyFill="1" applyBorder="1"/>
    <xf numFmtId="164" fontId="11" fillId="0" borderId="50" xfId="31" applyFont="1" applyBorder="1"/>
    <xf numFmtId="164" fontId="11" fillId="0" borderId="51" xfId="31" applyFont="1" applyBorder="1"/>
    <xf numFmtId="0" fontId="11" fillId="33" borderId="12" xfId="30" applyFont="1" applyFill="1" applyBorder="1"/>
    <xf numFmtId="164" fontId="11" fillId="0" borderId="16" xfId="31" applyFont="1" applyBorder="1"/>
    <xf numFmtId="0" fontId="20" fillId="45" borderId="0" xfId="30" applyFont="1" applyFill="1" applyAlignment="1">
      <alignment horizontal="left" vertical="top"/>
    </xf>
    <xf numFmtId="0" fontId="11" fillId="0" borderId="49" xfId="30" applyFont="1" applyBorder="1"/>
    <xf numFmtId="169" fontId="19" fillId="0" borderId="50" xfId="31" applyNumberFormat="1" applyFont="1" applyBorder="1"/>
    <xf numFmtId="0" fontId="11" fillId="0" borderId="51" xfId="30" applyFont="1" applyBorder="1"/>
    <xf numFmtId="0" fontId="11" fillId="0" borderId="8" xfId="30" applyFont="1" applyBorder="1"/>
    <xf numFmtId="174" fontId="11" fillId="33" borderId="0" xfId="30" applyNumberFormat="1" applyFont="1" applyFill="1"/>
    <xf numFmtId="0" fontId="11" fillId="0" borderId="58" xfId="30" applyFont="1" applyBorder="1"/>
    <xf numFmtId="0" fontId="11" fillId="0" borderId="10" xfId="30" applyFont="1" applyBorder="1" applyAlignment="1">
      <alignment wrapText="1"/>
    </xf>
    <xf numFmtId="169" fontId="19" fillId="0" borderId="14" xfId="31" applyNumberFormat="1" applyFont="1" applyBorder="1"/>
    <xf numFmtId="181" fontId="19" fillId="0" borderId="59" xfId="31" applyNumberFormat="1" applyFont="1" applyBorder="1"/>
    <xf numFmtId="181" fontId="19" fillId="0" borderId="14" xfId="31" applyNumberFormat="1" applyFont="1" applyBorder="1"/>
    <xf numFmtId="0" fontId="11" fillId="0" borderId="16" xfId="30" applyFont="1" applyBorder="1"/>
    <xf numFmtId="0" fontId="11" fillId="33" borderId="4" xfId="30" applyFont="1" applyFill="1" applyBorder="1"/>
    <xf numFmtId="169" fontId="19" fillId="0" borderId="5" xfId="31" applyNumberFormat="1" applyFont="1" applyBorder="1"/>
    <xf numFmtId="0" fontId="11" fillId="33" borderId="6" xfId="30" applyFont="1" applyFill="1" applyBorder="1"/>
    <xf numFmtId="43" fontId="11" fillId="33" borderId="0" xfId="30" applyNumberFormat="1" applyFont="1" applyFill="1"/>
    <xf numFmtId="0" fontId="11" fillId="33" borderId="51" xfId="30" applyFont="1" applyFill="1" applyBorder="1"/>
    <xf numFmtId="0" fontId="11" fillId="33" borderId="16" xfId="30" applyFont="1" applyFill="1" applyBorder="1"/>
    <xf numFmtId="181" fontId="19" fillId="0" borderId="5" xfId="31" applyNumberFormat="1" applyFont="1" applyBorder="1"/>
    <xf numFmtId="0" fontId="11" fillId="33" borderId="8" xfId="30" applyFont="1" applyFill="1" applyBorder="1"/>
    <xf numFmtId="183" fontId="11" fillId="0" borderId="14" xfId="31" applyNumberFormat="1" applyFont="1" applyBorder="1"/>
    <xf numFmtId="0" fontId="25" fillId="45" borderId="0" xfId="33" applyFill="1"/>
    <xf numFmtId="178" fontId="34" fillId="47" borderId="22" xfId="33" applyNumberFormat="1" applyFont="1" applyFill="1" applyBorder="1"/>
    <xf numFmtId="0" fontId="33" fillId="45" borderId="0" xfId="33" applyFont="1" applyFill="1" applyAlignment="1">
      <alignment horizontal="left" vertical="top" wrapText="1"/>
    </xf>
    <xf numFmtId="178" fontId="34" fillId="45" borderId="0" xfId="33" applyNumberFormat="1" applyFont="1" applyFill="1"/>
    <xf numFmtId="178" fontId="34" fillId="46" borderId="22" xfId="33" applyNumberFormat="1" applyFont="1" applyFill="1" applyBorder="1"/>
    <xf numFmtId="175" fontId="34" fillId="47" borderId="22" xfId="33" applyNumberFormat="1" applyFont="1" applyFill="1" applyBorder="1"/>
    <xf numFmtId="176" fontId="34" fillId="0" borderId="22" xfId="33" applyNumberFormat="1" applyFont="1" applyBorder="1" applyAlignment="1">
      <alignment vertical="center"/>
    </xf>
    <xf numFmtId="173" fontId="34" fillId="45" borderId="0" xfId="33" applyNumberFormat="1" applyFont="1" applyFill="1"/>
    <xf numFmtId="174" fontId="34" fillId="0" borderId="22" xfId="33" applyNumberFormat="1" applyFont="1" applyBorder="1" applyAlignment="1">
      <alignment horizontal="center"/>
    </xf>
    <xf numFmtId="0" fontId="34" fillId="45" borderId="0" xfId="33" applyFont="1" applyFill="1" applyAlignment="1">
      <alignment horizontal="left" wrapText="1"/>
    </xf>
    <xf numFmtId="0" fontId="34" fillId="46" borderId="22" xfId="33" applyFont="1" applyFill="1" applyBorder="1" applyAlignment="1">
      <alignment horizontal="left" wrapText="1"/>
    </xf>
    <xf numFmtId="0" fontId="34" fillId="46" borderId="28" xfId="33" applyFont="1" applyFill="1" applyBorder="1" applyAlignment="1">
      <alignment horizontal="left" wrapText="1"/>
    </xf>
    <xf numFmtId="0" fontId="34" fillId="0" borderId="29" xfId="33" applyFont="1" applyBorder="1" applyAlignment="1">
      <alignment horizontal="left" wrapText="1"/>
    </xf>
    <xf numFmtId="0" fontId="34" fillId="0" borderId="30" xfId="33" applyFont="1" applyBorder="1" applyAlignment="1">
      <alignment horizontal="left" wrapText="1"/>
    </xf>
    <xf numFmtId="0" fontId="34" fillId="46" borderId="31" xfId="33" applyFont="1" applyFill="1" applyBorder="1" applyAlignment="1">
      <alignment horizontal="left" wrapText="1"/>
    </xf>
    <xf numFmtId="0" fontId="34" fillId="46" borderId="32" xfId="33" applyFont="1" applyFill="1" applyBorder="1" applyAlignment="1">
      <alignment horizontal="left" wrapText="1"/>
    </xf>
    <xf numFmtId="0" fontId="34" fillId="0" borderId="33" xfId="33" applyFont="1" applyBorder="1" applyAlignment="1">
      <alignment horizontal="left" wrapText="1"/>
    </xf>
    <xf numFmtId="0" fontId="34" fillId="46" borderId="34" xfId="33" applyFont="1" applyFill="1" applyBorder="1" applyAlignment="1">
      <alignment horizontal="left" wrapText="1"/>
    </xf>
    <xf numFmtId="0" fontId="34" fillId="46" borderId="35" xfId="33" applyFont="1" applyFill="1" applyBorder="1" applyAlignment="1">
      <alignment horizontal="left" wrapText="1"/>
    </xf>
    <xf numFmtId="0" fontId="34" fillId="46" borderId="36" xfId="33" applyFont="1" applyFill="1" applyBorder="1" applyAlignment="1">
      <alignment horizontal="left" wrapText="1"/>
    </xf>
    <xf numFmtId="176" fontId="34" fillId="0" borderId="36" xfId="33" applyNumberFormat="1" applyFont="1" applyBorder="1" applyAlignment="1">
      <alignment horizontal="center" wrapText="1"/>
    </xf>
    <xf numFmtId="0" fontId="34" fillId="46" borderId="37" xfId="33" applyFont="1" applyFill="1" applyBorder="1" applyAlignment="1">
      <alignment horizontal="left" wrapText="1"/>
    </xf>
    <xf numFmtId="177" fontId="34" fillId="0" borderId="36" xfId="33" applyNumberFormat="1" applyFont="1" applyBorder="1" applyAlignment="1">
      <alignment horizontal="center" wrapText="1"/>
    </xf>
    <xf numFmtId="0" fontId="34" fillId="45" borderId="0" xfId="33" applyFont="1" applyFill="1"/>
    <xf numFmtId="0" fontId="34" fillId="0" borderId="22" xfId="33" applyFont="1" applyBorder="1"/>
    <xf numFmtId="0" fontId="34" fillId="46" borderId="22" xfId="33" applyFont="1" applyFill="1" applyBorder="1"/>
    <xf numFmtId="176" fontId="34" fillId="0" borderId="22" xfId="33" applyNumberFormat="1" applyFont="1" applyBorder="1" applyAlignment="1">
      <alignment horizontal="center"/>
    </xf>
    <xf numFmtId="176" fontId="34" fillId="0" borderId="22" xfId="33" applyNumberFormat="1" applyFont="1" applyBorder="1" applyAlignment="1">
      <alignment horizontal="center" vertical="center"/>
    </xf>
    <xf numFmtId="176" fontId="34" fillId="45" borderId="22" xfId="33" applyNumberFormat="1" applyFont="1" applyFill="1" applyBorder="1" applyAlignment="1">
      <alignment horizontal="center"/>
    </xf>
    <xf numFmtId="178" fontId="34" fillId="47" borderId="22" xfId="33" applyNumberFormat="1" applyFont="1" applyFill="1" applyBorder="1" applyAlignment="1">
      <alignment horizontal="center" vertical="center"/>
    </xf>
    <xf numFmtId="176" fontId="34" fillId="45" borderId="22" xfId="33" applyNumberFormat="1" applyFont="1" applyFill="1" applyBorder="1" applyAlignment="1">
      <alignment horizontal="center" vertical="center"/>
    </xf>
    <xf numFmtId="0" fontId="34" fillId="46" borderId="24" xfId="33" applyFont="1" applyFill="1" applyBorder="1"/>
    <xf numFmtId="0" fontId="34" fillId="46" borderId="25" xfId="33" applyFont="1" applyFill="1" applyBorder="1"/>
    <xf numFmtId="0" fontId="34" fillId="46" borderId="26" xfId="33" applyFont="1" applyFill="1" applyBorder="1"/>
    <xf numFmtId="0" fontId="34" fillId="46" borderId="27" xfId="33" applyFont="1" applyFill="1" applyBorder="1"/>
    <xf numFmtId="175" fontId="34" fillId="0" borderId="22" xfId="33" applyNumberFormat="1" applyFont="1" applyBorder="1" applyAlignment="1">
      <alignment horizontal="center"/>
    </xf>
    <xf numFmtId="0" fontId="7" fillId="0" borderId="0" xfId="0" applyFont="1"/>
    <xf numFmtId="0" fontId="0" fillId="49" borderId="0" xfId="0" applyFill="1"/>
    <xf numFmtId="0" fontId="45" fillId="0" borderId="0" xfId="0" applyFont="1"/>
    <xf numFmtId="0" fontId="36" fillId="0" borderId="0" xfId="0" applyFont="1"/>
    <xf numFmtId="11" fontId="36" fillId="0" borderId="0" xfId="0" applyNumberFormat="1" applyFont="1"/>
    <xf numFmtId="0" fontId="0" fillId="0" borderId="61" xfId="0" applyBorder="1"/>
    <xf numFmtId="0" fontId="46" fillId="0" borderId="0" xfId="0" applyFont="1"/>
    <xf numFmtId="0" fontId="0" fillId="0" borderId="0" xfId="0" applyAlignment="1">
      <alignment horizontal="center"/>
    </xf>
    <xf numFmtId="0" fontId="0" fillId="51" borderId="0" xfId="0" applyFill="1"/>
    <xf numFmtId="0" fontId="47" fillId="0" borderId="0" xfId="0" applyFont="1"/>
    <xf numFmtId="0" fontId="8" fillId="0" borderId="0" xfId="0" applyFont="1"/>
    <xf numFmtId="0" fontId="10" fillId="31" borderId="61" xfId="30" applyFont="1" applyFill="1" applyBorder="1" applyAlignment="1">
      <alignment horizontal="center"/>
    </xf>
    <xf numFmtId="0" fontId="10" fillId="32" borderId="62" xfId="30" applyFont="1" applyFill="1" applyBorder="1"/>
    <xf numFmtId="0" fontId="11" fillId="32" borderId="63" xfId="30" applyFont="1" applyFill="1" applyBorder="1"/>
    <xf numFmtId="0" fontId="11" fillId="32" borderId="64" xfId="30" applyFont="1" applyFill="1" applyBorder="1"/>
    <xf numFmtId="0" fontId="13" fillId="35" borderId="52" xfId="30" applyFont="1" applyFill="1" applyBorder="1" applyAlignment="1">
      <alignment horizontal="center" vertical="top" wrapText="1"/>
    </xf>
    <xf numFmtId="0" fontId="13" fillId="35" borderId="68" xfId="30" applyFont="1" applyFill="1" applyBorder="1" applyAlignment="1">
      <alignment horizontal="center" vertical="top" wrapText="1"/>
    </xf>
    <xf numFmtId="3" fontId="11" fillId="33" borderId="0" xfId="30" applyNumberFormat="1" applyFont="1" applyFill="1"/>
    <xf numFmtId="0" fontId="11" fillId="33" borderId="73" xfId="30" applyFont="1" applyFill="1" applyBorder="1"/>
    <xf numFmtId="167" fontId="11" fillId="33" borderId="6" xfId="31" applyNumberFormat="1" applyFont="1" applyFill="1" applyBorder="1"/>
    <xf numFmtId="167" fontId="11" fillId="33" borderId="8" xfId="31" applyNumberFormat="1" applyFont="1" applyFill="1" applyBorder="1"/>
    <xf numFmtId="167" fontId="11" fillId="45" borderId="8" xfId="31" applyNumberFormat="1" applyFont="1" applyFill="1" applyBorder="1"/>
    <xf numFmtId="167" fontId="11" fillId="33" borderId="16" xfId="31" applyNumberFormat="1" applyFont="1" applyFill="1" applyBorder="1" applyAlignment="1">
      <alignment horizontal="right"/>
    </xf>
    <xf numFmtId="0" fontId="10" fillId="33" borderId="0" xfId="30" applyFont="1" applyFill="1" applyAlignment="1">
      <alignment horizontal="center"/>
    </xf>
    <xf numFmtId="0" fontId="13" fillId="33" borderId="0" xfId="30" applyFont="1" applyFill="1" applyAlignment="1">
      <alignment horizontal="left"/>
    </xf>
    <xf numFmtId="0" fontId="13" fillId="35" borderId="54" xfId="30" applyFont="1" applyFill="1" applyBorder="1" applyAlignment="1">
      <alignment horizontal="center" vertical="top" wrapText="1"/>
    </xf>
    <xf numFmtId="0" fontId="13" fillId="35" borderId="74" xfId="30" applyFont="1" applyFill="1" applyBorder="1" applyAlignment="1">
      <alignment horizontal="center" vertical="top" wrapText="1"/>
    </xf>
    <xf numFmtId="187" fontId="11" fillId="33" borderId="76" xfId="31" applyNumberFormat="1" applyFont="1" applyFill="1" applyBorder="1"/>
    <xf numFmtId="168" fontId="11" fillId="33" borderId="0" xfId="30" applyNumberFormat="1" applyFont="1" applyFill="1"/>
    <xf numFmtId="187" fontId="11" fillId="33" borderId="64" xfId="31" applyNumberFormat="1" applyFont="1" applyFill="1" applyBorder="1"/>
    <xf numFmtId="187" fontId="11" fillId="45" borderId="64" xfId="31" applyNumberFormat="1" applyFont="1" applyFill="1" applyBorder="1"/>
    <xf numFmtId="0" fontId="11" fillId="33" borderId="10" xfId="30" applyFont="1" applyFill="1" applyBorder="1" applyAlignment="1">
      <alignment horizontal="left"/>
    </xf>
    <xf numFmtId="187" fontId="11" fillId="33" borderId="81" xfId="31" applyNumberFormat="1" applyFont="1" applyFill="1" applyBorder="1"/>
    <xf numFmtId="0" fontId="53" fillId="0" borderId="0" xfId="63"/>
    <xf numFmtId="0" fontId="52" fillId="0" borderId="0" xfId="0" applyFont="1" applyAlignment="1">
      <alignment horizontal="center"/>
    </xf>
    <xf numFmtId="0" fontId="54" fillId="0" borderId="0" xfId="0" applyFont="1"/>
    <xf numFmtId="0" fontId="52" fillId="0" borderId="0" xfId="0" applyFont="1" applyAlignment="1">
      <alignment horizontal="left" vertical="top"/>
    </xf>
    <xf numFmtId="0" fontId="0" fillId="0" borderId="62" xfId="0" applyBorder="1"/>
    <xf numFmtId="0" fontId="0" fillId="0" borderId="65" xfId="0" applyBorder="1"/>
    <xf numFmtId="0" fontId="0" fillId="0" borderId="84" xfId="0" applyBorder="1"/>
    <xf numFmtId="0" fontId="57" fillId="53" borderId="0" xfId="0" applyFont="1" applyFill="1"/>
    <xf numFmtId="0" fontId="59" fillId="0" borderId="0" xfId="0" applyFont="1"/>
    <xf numFmtId="0" fontId="0" fillId="0" borderId="66" xfId="0" applyBorder="1"/>
    <xf numFmtId="189" fontId="0" fillId="0" borderId="0" xfId="0" applyNumberFormat="1"/>
    <xf numFmtId="189" fontId="0" fillId="0" borderId="50" xfId="0" applyNumberFormat="1" applyBorder="1"/>
    <xf numFmtId="0" fontId="0" fillId="0" borderId="50" xfId="0" applyBorder="1"/>
    <xf numFmtId="0" fontId="34" fillId="46" borderId="22" xfId="77" applyFont="1" applyFill="1" applyBorder="1"/>
    <xf numFmtId="0" fontId="34" fillId="47" borderId="22" xfId="77" applyFont="1" applyFill="1" applyBorder="1" applyAlignment="1">
      <alignment horizontal="center"/>
    </xf>
    <xf numFmtId="178" fontId="34" fillId="0" borderId="22" xfId="77" applyNumberFormat="1" applyFont="1" applyBorder="1" applyAlignment="1">
      <alignment horizontal="center"/>
    </xf>
    <xf numFmtId="0" fontId="34" fillId="46" borderId="22" xfId="81" applyFont="1" applyFill="1" applyBorder="1"/>
    <xf numFmtId="0" fontId="34" fillId="46" borderId="22" xfId="85" applyFont="1" applyFill="1" applyBorder="1"/>
    <xf numFmtId="0" fontId="34" fillId="46" borderId="22" xfId="87" applyFont="1" applyFill="1" applyBorder="1"/>
    <xf numFmtId="188" fontId="34" fillId="45" borderId="0" xfId="36" applyNumberFormat="1" applyFont="1" applyFill="1" applyBorder="1" applyAlignment="1">
      <alignment horizontal="center" vertical="center"/>
    </xf>
    <xf numFmtId="0" fontId="34" fillId="46" borderId="22" xfId="97" applyFont="1" applyFill="1" applyBorder="1"/>
    <xf numFmtId="0" fontId="34" fillId="46" borderId="0" xfId="97" applyFont="1" applyFill="1"/>
    <xf numFmtId="0" fontId="34" fillId="46" borderId="0" xfId="97" applyFont="1" applyFill="1" applyAlignment="1">
      <alignment vertical="center" wrapText="1"/>
    </xf>
    <xf numFmtId="0" fontId="34" fillId="46" borderId="22" xfId="98" applyFont="1" applyFill="1" applyBorder="1"/>
    <xf numFmtId="0" fontId="34" fillId="46" borderId="22" xfId="98" applyFont="1" applyFill="1" applyBorder="1" applyAlignment="1">
      <alignment wrapText="1"/>
    </xf>
    <xf numFmtId="0" fontId="34" fillId="46" borderId="22" xfId="98" applyFont="1" applyFill="1" applyBorder="1" applyAlignment="1">
      <alignment vertical="center" wrapText="1"/>
    </xf>
    <xf numFmtId="0" fontId="34" fillId="46" borderId="22" xfId="96" applyFont="1" applyFill="1" applyBorder="1"/>
    <xf numFmtId="176" fontId="34" fillId="45" borderId="22" xfId="96" applyNumberFormat="1" applyFont="1" applyFill="1" applyBorder="1" applyAlignment="1">
      <alignment horizontal="center"/>
    </xf>
    <xf numFmtId="0" fontId="34" fillId="0" borderId="22" xfId="103" applyFont="1" applyBorder="1"/>
    <xf numFmtId="0" fontId="34" fillId="46" borderId="22" xfId="103" applyFont="1" applyFill="1" applyBorder="1"/>
    <xf numFmtId="0" fontId="34" fillId="0" borderId="22" xfId="103" applyFont="1" applyBorder="1" applyAlignment="1">
      <alignment horizontal="left" wrapText="1"/>
    </xf>
    <xf numFmtId="0" fontId="34" fillId="46" borderId="22" xfId="103" applyFont="1" applyFill="1" applyBorder="1" applyAlignment="1">
      <alignment horizontal="left" wrapText="1"/>
    </xf>
    <xf numFmtId="0" fontId="34" fillId="46" borderId="22" xfId="103" applyFont="1" applyFill="1" applyBorder="1" applyAlignment="1">
      <alignment wrapText="1"/>
    </xf>
    <xf numFmtId="0" fontId="34" fillId="0" borderId="22" xfId="103" applyFont="1" applyBorder="1" applyAlignment="1">
      <alignment wrapText="1"/>
    </xf>
    <xf numFmtId="188" fontId="34" fillId="45" borderId="22" xfId="36" applyNumberFormat="1" applyFont="1" applyFill="1" applyBorder="1" applyAlignment="1">
      <alignment horizontal="center" vertical="center"/>
    </xf>
    <xf numFmtId="0" fontId="34" fillId="0" borderId="22" xfId="107" applyFont="1" applyBorder="1"/>
    <xf numFmtId="0" fontId="34" fillId="46" borderId="22" xfId="107" applyFont="1" applyFill="1" applyBorder="1"/>
    <xf numFmtId="0" fontId="34" fillId="0" borderId="22" xfId="107" applyFont="1" applyBorder="1" applyAlignment="1">
      <alignment horizontal="left" wrapText="1"/>
    </xf>
    <xf numFmtId="0" fontId="34" fillId="0" borderId="22" xfId="107" applyFont="1" applyBorder="1" applyAlignment="1">
      <alignment wrapText="1"/>
    </xf>
    <xf numFmtId="0" fontId="34" fillId="46" borderId="22" xfId="108" applyFont="1" applyFill="1" applyBorder="1"/>
    <xf numFmtId="175" fontId="34" fillId="45" borderId="22" xfId="108" applyNumberFormat="1" applyFont="1" applyFill="1" applyBorder="1" applyAlignment="1">
      <alignment horizontal="center"/>
    </xf>
    <xf numFmtId="0" fontId="34" fillId="46" borderId="22" xfId="110" applyFont="1" applyFill="1" applyBorder="1"/>
    <xf numFmtId="175" fontId="34" fillId="45" borderId="22" xfId="110" applyNumberFormat="1" applyFont="1" applyFill="1" applyBorder="1" applyAlignment="1">
      <alignment horizontal="center"/>
    </xf>
    <xf numFmtId="0" fontId="34" fillId="46" borderId="22" xfId="111" applyFont="1" applyFill="1" applyBorder="1"/>
    <xf numFmtId="175" fontId="34" fillId="45" borderId="22" xfId="111" applyNumberFormat="1" applyFont="1" applyFill="1" applyBorder="1" applyAlignment="1">
      <alignment horizontal="center"/>
    </xf>
    <xf numFmtId="0" fontId="34" fillId="46" borderId="22" xfId="112" applyFont="1" applyFill="1" applyBorder="1"/>
    <xf numFmtId="175" fontId="34" fillId="45" borderId="22" xfId="112" applyNumberFormat="1" applyFont="1" applyFill="1" applyBorder="1" applyAlignment="1">
      <alignment horizontal="center"/>
    </xf>
    <xf numFmtId="0" fontId="34" fillId="46" borderId="22" xfId="113" applyFont="1" applyFill="1" applyBorder="1"/>
    <xf numFmtId="175" fontId="34" fillId="45" borderId="22" xfId="113" applyNumberFormat="1" applyFont="1" applyFill="1" applyBorder="1" applyAlignment="1">
      <alignment horizontal="center"/>
    </xf>
    <xf numFmtId="0" fontId="34" fillId="0" borderId="22" xfId="114" applyFont="1" applyBorder="1"/>
    <xf numFmtId="0" fontId="34" fillId="46" borderId="22" xfId="114" applyFont="1" applyFill="1" applyBorder="1"/>
    <xf numFmtId="0" fontId="34" fillId="0" borderId="22" xfId="114" applyFont="1" applyBorder="1" applyAlignment="1">
      <alignment horizontal="left" wrapText="1"/>
    </xf>
    <xf numFmtId="0" fontId="34" fillId="0" borderId="22" xfId="114" applyFont="1" applyBorder="1" applyAlignment="1">
      <alignment wrapText="1"/>
    </xf>
    <xf numFmtId="0" fontId="34" fillId="46" borderId="22" xfId="115" applyFont="1" applyFill="1" applyBorder="1"/>
    <xf numFmtId="175" fontId="34" fillId="45" borderId="22" xfId="115" applyNumberFormat="1" applyFont="1" applyFill="1" applyBorder="1" applyAlignment="1">
      <alignment horizontal="center"/>
    </xf>
    <xf numFmtId="0" fontId="34" fillId="46" borderId="22" xfId="116" applyFont="1" applyFill="1" applyBorder="1"/>
    <xf numFmtId="175" fontId="34" fillId="45" borderId="22" xfId="116" applyNumberFormat="1" applyFont="1" applyFill="1" applyBorder="1" applyAlignment="1">
      <alignment horizontal="center"/>
    </xf>
    <xf numFmtId="0" fontId="34" fillId="46" borderId="22" xfId="117" applyFont="1" applyFill="1" applyBorder="1"/>
    <xf numFmtId="175" fontId="34" fillId="45" borderId="22" xfId="117" applyNumberFormat="1" applyFont="1" applyFill="1" applyBorder="1" applyAlignment="1">
      <alignment horizontal="center"/>
    </xf>
    <xf numFmtId="0" fontId="34" fillId="46" borderId="22" xfId="118" applyFont="1" applyFill="1" applyBorder="1"/>
    <xf numFmtId="175" fontId="34" fillId="45" borderId="22" xfId="118" applyNumberFormat="1" applyFont="1" applyFill="1" applyBorder="1" applyAlignment="1">
      <alignment horizontal="center"/>
    </xf>
    <xf numFmtId="0" fontId="34" fillId="46" borderId="22" xfId="119" applyFont="1" applyFill="1" applyBorder="1"/>
    <xf numFmtId="175" fontId="34" fillId="45" borderId="22" xfId="119" applyNumberFormat="1" applyFont="1" applyFill="1" applyBorder="1" applyAlignment="1">
      <alignment horizontal="center"/>
    </xf>
    <xf numFmtId="0" fontId="52" fillId="0" borderId="0" xfId="0" applyFont="1" applyAlignment="1">
      <alignment vertical="top"/>
    </xf>
    <xf numFmtId="0" fontId="65" fillId="45" borderId="0" xfId="0" applyFont="1" applyFill="1" applyAlignment="1">
      <alignment horizontal="left" vertical="top" indent="2"/>
    </xf>
    <xf numFmtId="0" fontId="67" fillId="45" borderId="0" xfId="0" applyFont="1" applyFill="1" applyAlignment="1">
      <alignment horizontal="left" indent="2"/>
    </xf>
    <xf numFmtId="0" fontId="68" fillId="45" borderId="0" xfId="0" applyFont="1" applyFill="1" applyAlignment="1">
      <alignment horizontal="left" indent="2"/>
    </xf>
    <xf numFmtId="0" fontId="66" fillId="45" borderId="0" xfId="0" applyFont="1" applyFill="1" applyAlignment="1">
      <alignment horizontal="left" indent="2"/>
    </xf>
    <xf numFmtId="0" fontId="53" fillId="45" borderId="0" xfId="63" applyFill="1" applyAlignment="1">
      <alignment horizontal="left" indent="2"/>
    </xf>
    <xf numFmtId="0" fontId="68" fillId="45" borderId="0" xfId="0" applyFont="1" applyFill="1" applyAlignment="1">
      <alignment horizontal="left" vertical="top" indent="2"/>
    </xf>
    <xf numFmtId="0" fontId="70" fillId="45" borderId="0" xfId="0" applyFont="1" applyFill="1" applyAlignment="1">
      <alignment horizontal="left"/>
    </xf>
    <xf numFmtId="0" fontId="0" fillId="58" borderId="0" xfId="0" applyFill="1"/>
    <xf numFmtId="0" fontId="62" fillId="58" borderId="0" xfId="0" applyFont="1" applyFill="1"/>
    <xf numFmtId="0" fontId="64" fillId="58" borderId="0" xfId="0" applyFont="1" applyFill="1"/>
    <xf numFmtId="0" fontId="63" fillId="58" borderId="0" xfId="0" applyFont="1" applyFill="1"/>
    <xf numFmtId="0" fontId="0" fillId="56" borderId="95" xfId="0" applyFill="1" applyBorder="1"/>
    <xf numFmtId="0" fontId="0" fillId="55" borderId="95" xfId="0" applyFill="1" applyBorder="1"/>
    <xf numFmtId="0" fontId="6" fillId="58" borderId="98" xfId="0" applyFont="1" applyFill="1" applyBorder="1"/>
    <xf numFmtId="0" fontId="6" fillId="58" borderId="99" xfId="0" applyFont="1" applyFill="1" applyBorder="1"/>
    <xf numFmtId="0" fontId="6" fillId="58" borderId="100" xfId="0" applyFont="1" applyFill="1" applyBorder="1"/>
    <xf numFmtId="0" fontId="52" fillId="56" borderId="101" xfId="0" applyFont="1" applyFill="1" applyBorder="1"/>
    <xf numFmtId="0" fontId="52" fillId="56" borderId="95" xfId="0" applyFont="1" applyFill="1" applyBorder="1"/>
    <xf numFmtId="0" fontId="52" fillId="56" borderId="103" xfId="0" applyFont="1" applyFill="1" applyBorder="1"/>
    <xf numFmtId="0" fontId="52" fillId="56" borderId="104" xfId="0" applyFont="1" applyFill="1" applyBorder="1"/>
    <xf numFmtId="2" fontId="71" fillId="58" borderId="95" xfId="0" applyNumberFormat="1" applyFont="1" applyFill="1" applyBorder="1"/>
    <xf numFmtId="0" fontId="61" fillId="58" borderId="0" xfId="0" applyFont="1" applyFill="1"/>
    <xf numFmtId="0" fontId="73" fillId="58" borderId="0" xfId="0" applyFont="1" applyFill="1"/>
    <xf numFmtId="0" fontId="6" fillId="58" borderId="104" xfId="0" applyFont="1" applyFill="1" applyBorder="1" applyAlignment="1">
      <alignment horizontal="center" vertical="center"/>
    </xf>
    <xf numFmtId="0" fontId="0" fillId="56" borderId="98" xfId="0" applyFill="1" applyBorder="1"/>
    <xf numFmtId="0" fontId="0" fillId="55" borderId="99" xfId="0" applyFill="1" applyBorder="1"/>
    <xf numFmtId="0" fontId="0" fillId="56" borderId="99" xfId="0" applyFill="1" applyBorder="1"/>
    <xf numFmtId="0" fontId="0" fillId="56" borderId="100" xfId="0" applyFill="1" applyBorder="1"/>
    <xf numFmtId="0" fontId="0" fillId="56" borderId="101" xfId="0" applyFill="1" applyBorder="1"/>
    <xf numFmtId="0" fontId="0" fillId="56" borderId="102" xfId="0" applyFill="1" applyBorder="1"/>
    <xf numFmtId="0" fontId="0" fillId="56" borderId="103" xfId="0" applyFill="1" applyBorder="1"/>
    <xf numFmtId="0" fontId="0" fillId="55" borderId="104" xfId="0" applyFill="1" applyBorder="1"/>
    <xf numFmtId="0" fontId="0" fillId="56" borderId="104" xfId="0" applyFill="1" applyBorder="1"/>
    <xf numFmtId="0" fontId="0" fillId="56" borderId="105" xfId="0" applyFill="1" applyBorder="1"/>
    <xf numFmtId="0" fontId="8" fillId="58" borderId="0" xfId="0" applyFont="1" applyFill="1"/>
    <xf numFmtId="0" fontId="76" fillId="0" borderId="0" xfId="0" applyFont="1" applyAlignment="1">
      <alignment horizontal="left" vertical="top"/>
    </xf>
    <xf numFmtId="0" fontId="52" fillId="56" borderId="95" xfId="0" applyFont="1" applyFill="1" applyBorder="1" applyAlignment="1">
      <alignment horizontal="center"/>
    </xf>
    <xf numFmtId="0" fontId="60" fillId="45" borderId="0" xfId="0" applyFont="1" applyFill="1" applyAlignment="1">
      <alignment wrapText="1"/>
    </xf>
    <xf numFmtId="173" fontId="0" fillId="54" borderId="95" xfId="0" applyNumberFormat="1" applyFill="1" applyBorder="1"/>
    <xf numFmtId="173" fontId="0" fillId="54" borderId="104" xfId="0" applyNumberFormat="1" applyFill="1" applyBorder="1"/>
    <xf numFmtId="0" fontId="80" fillId="55" borderId="98" xfId="47" applyFont="1" applyFill="1" applyBorder="1" applyAlignment="1" applyProtection="1">
      <alignment horizontal="center" vertical="center"/>
      <protection hidden="1"/>
    </xf>
    <xf numFmtId="0" fontId="80" fillId="55" borderId="101" xfId="47" applyFont="1" applyFill="1" applyBorder="1" applyAlignment="1" applyProtection="1">
      <alignment horizontal="center" vertical="center"/>
      <protection hidden="1"/>
    </xf>
    <xf numFmtId="0" fontId="80" fillId="55" borderId="103" xfId="47" applyFont="1" applyFill="1" applyBorder="1" applyAlignment="1" applyProtection="1">
      <alignment horizontal="center" vertical="center"/>
      <protection hidden="1"/>
    </xf>
    <xf numFmtId="0" fontId="56" fillId="58" borderId="97" xfId="48" applyFont="1" applyFill="1" applyBorder="1"/>
    <xf numFmtId="0" fontId="81" fillId="58" borderId="0" xfId="48" applyFont="1" applyFill="1"/>
    <xf numFmtId="0" fontId="82" fillId="58" borderId="0" xfId="48" applyFont="1" applyFill="1"/>
    <xf numFmtId="0" fontId="56" fillId="58" borderId="100" xfId="48" applyFont="1" applyFill="1" applyBorder="1"/>
    <xf numFmtId="0" fontId="81" fillId="58" borderId="108" xfId="48" applyFont="1" applyFill="1" applyBorder="1"/>
    <xf numFmtId="0" fontId="82" fillId="58" borderId="108" xfId="48" applyFont="1" applyFill="1" applyBorder="1"/>
    <xf numFmtId="0" fontId="82" fillId="58" borderId="95" xfId="48" applyFont="1" applyFill="1" applyBorder="1" applyAlignment="1">
      <alignment horizontal="center"/>
    </xf>
    <xf numFmtId="2" fontId="82" fillId="58" borderId="95" xfId="48" applyNumberFormat="1" applyFont="1" applyFill="1" applyBorder="1" applyAlignment="1">
      <alignment horizontal="center" wrapText="1"/>
    </xf>
    <xf numFmtId="0" fontId="52" fillId="55" borderId="102" xfId="0" applyFont="1" applyFill="1" applyBorder="1" applyAlignment="1">
      <alignment horizontal="center"/>
    </xf>
    <xf numFmtId="0" fontId="58" fillId="0" borderId="0" xfId="0" applyFont="1" applyAlignment="1">
      <alignment wrapText="1"/>
    </xf>
    <xf numFmtId="0" fontId="58" fillId="0" borderId="0" xfId="0" applyFont="1" applyAlignment="1">
      <alignment horizontal="center" vertical="center" wrapText="1"/>
    </xf>
    <xf numFmtId="0" fontId="59" fillId="0" borderId="0" xfId="0" applyFont="1" applyAlignment="1">
      <alignment horizontal="center" vertical="center"/>
    </xf>
    <xf numFmtId="0" fontId="0" fillId="0" borderId="0" xfId="0" applyAlignment="1">
      <alignment horizontal="center" vertical="center"/>
    </xf>
    <xf numFmtId="0" fontId="0" fillId="0" borderId="0" xfId="0" applyAlignment="1">
      <alignment wrapText="1"/>
    </xf>
    <xf numFmtId="43" fontId="0" fillId="0" borderId="0" xfId="0" applyNumberFormat="1" applyAlignment="1">
      <alignment horizontal="center" vertical="center"/>
    </xf>
    <xf numFmtId="0" fontId="0" fillId="50" borderId="0" xfId="0" applyFill="1" applyAlignment="1">
      <alignment horizontal="center" vertical="center"/>
    </xf>
    <xf numFmtId="0" fontId="0" fillId="61" borderId="0" xfId="0" applyFill="1"/>
    <xf numFmtId="0" fontId="0" fillId="62" borderId="0" xfId="0" applyFill="1"/>
    <xf numFmtId="0" fontId="65" fillId="45" borderId="0" xfId="0" applyFont="1" applyFill="1"/>
    <xf numFmtId="0" fontId="69" fillId="45" borderId="84" xfId="0" applyFont="1" applyFill="1" applyBorder="1"/>
    <xf numFmtId="0" fontId="69" fillId="45" borderId="87" xfId="0" applyFont="1" applyFill="1" applyBorder="1"/>
    <xf numFmtId="0" fontId="52" fillId="0" borderId="86" xfId="0" applyFont="1" applyBorder="1" applyAlignment="1">
      <alignment vertical="top"/>
    </xf>
    <xf numFmtId="0" fontId="65" fillId="56" borderId="85" xfId="0" applyFont="1" applyFill="1" applyBorder="1"/>
    <xf numFmtId="0" fontId="52" fillId="0" borderId="87" xfId="0" applyFont="1" applyBorder="1" applyAlignment="1">
      <alignment vertical="top"/>
    </xf>
    <xf numFmtId="0" fontId="52" fillId="0" borderId="83" xfId="0" applyFont="1" applyBorder="1" applyAlignment="1">
      <alignment vertical="top"/>
    </xf>
    <xf numFmtId="0" fontId="73" fillId="0" borderId="0" xfId="0" applyFont="1"/>
    <xf numFmtId="0" fontId="61" fillId="0" borderId="0" xfId="0" applyFont="1"/>
    <xf numFmtId="0" fontId="58" fillId="0" borderId="0" xfId="0" applyFont="1" applyAlignment="1">
      <alignment horizontal="left" wrapText="1"/>
    </xf>
    <xf numFmtId="0" fontId="58" fillId="0" borderId="0" xfId="0" applyFont="1"/>
    <xf numFmtId="0" fontId="47" fillId="61" borderId="0" xfId="0" applyFont="1" applyFill="1"/>
    <xf numFmtId="173" fontId="78" fillId="58" borderId="95" xfId="0" applyNumberFormat="1" applyFont="1" applyFill="1" applyBorder="1"/>
    <xf numFmtId="0" fontId="0" fillId="54" borderId="102" xfId="0" applyFill="1" applyBorder="1" applyAlignment="1">
      <alignment wrapText="1"/>
    </xf>
    <xf numFmtId="0" fontId="0" fillId="54" borderId="105" xfId="0" applyFill="1" applyBorder="1" applyAlignment="1">
      <alignment wrapText="1"/>
    </xf>
    <xf numFmtId="0" fontId="65" fillId="54" borderId="100" xfId="0" applyFont="1" applyFill="1" applyBorder="1" applyAlignment="1">
      <alignment wrapText="1"/>
    </xf>
    <xf numFmtId="0" fontId="65" fillId="54" borderId="102" xfId="0" applyFont="1" applyFill="1" applyBorder="1" applyAlignment="1">
      <alignment wrapText="1"/>
    </xf>
    <xf numFmtId="0" fontId="65" fillId="54" borderId="105" xfId="0" applyFont="1" applyFill="1" applyBorder="1" applyAlignment="1">
      <alignment wrapText="1"/>
    </xf>
    <xf numFmtId="0" fontId="37" fillId="55" borderId="101" xfId="0" applyFont="1" applyFill="1" applyBorder="1" applyAlignment="1" applyProtection="1">
      <alignment horizontal="center" vertical="center"/>
      <protection locked="0"/>
    </xf>
    <xf numFmtId="0" fontId="37" fillId="55" borderId="95" xfId="0" applyFont="1" applyFill="1" applyBorder="1" applyAlignment="1" applyProtection="1">
      <alignment horizontal="center" vertical="center"/>
      <protection locked="0"/>
    </xf>
    <xf numFmtId="0" fontId="37" fillId="56" borderId="95" xfId="0" applyFont="1" applyFill="1" applyBorder="1" applyAlignment="1" applyProtection="1">
      <alignment horizontal="center" vertical="center"/>
      <protection locked="0"/>
    </xf>
    <xf numFmtId="173" fontId="0" fillId="54" borderId="95" xfId="0" applyNumberFormat="1" applyFill="1" applyBorder="1" applyAlignment="1">
      <alignment horizontal="center" vertical="center"/>
    </xf>
    <xf numFmtId="190" fontId="0" fillId="54" borderId="95" xfId="0" applyNumberFormat="1" applyFill="1" applyBorder="1" applyAlignment="1">
      <alignment horizontal="center" vertical="center"/>
    </xf>
    <xf numFmtId="0" fontId="0" fillId="54" borderId="95" xfId="0" applyFill="1" applyBorder="1" applyAlignment="1">
      <alignment horizontal="center" vertical="center"/>
    </xf>
    <xf numFmtId="0" fontId="37" fillId="55" borderId="103" xfId="0" applyFont="1" applyFill="1" applyBorder="1" applyAlignment="1" applyProtection="1">
      <alignment horizontal="center" vertical="center"/>
      <protection locked="0"/>
    </xf>
    <xf numFmtId="0" fontId="37" fillId="55" borderId="104" xfId="0" applyFont="1" applyFill="1" applyBorder="1" applyAlignment="1" applyProtection="1">
      <alignment horizontal="center" vertical="center"/>
      <protection locked="0"/>
    </xf>
    <xf numFmtId="0" fontId="37" fillId="56" borderId="104" xfId="0" applyFont="1" applyFill="1" applyBorder="1" applyAlignment="1" applyProtection="1">
      <alignment horizontal="center" vertical="center"/>
      <protection locked="0"/>
    </xf>
    <xf numFmtId="173" fontId="0" fillId="54" borderId="104" xfId="0" applyNumberFormat="1" applyFill="1" applyBorder="1" applyAlignment="1">
      <alignment horizontal="center" vertical="center"/>
    </xf>
    <xf numFmtId="190" fontId="0" fillId="54" borderId="104" xfId="0" applyNumberFormat="1" applyFill="1" applyBorder="1" applyAlignment="1">
      <alignment horizontal="center" vertical="center"/>
    </xf>
    <xf numFmtId="0" fontId="0" fillId="54" borderId="104" xfId="0" applyFill="1" applyBorder="1" applyAlignment="1">
      <alignment horizontal="center" vertical="center"/>
    </xf>
    <xf numFmtId="0" fontId="80" fillId="55" borderId="99" xfId="47" applyFont="1" applyFill="1" applyBorder="1" applyAlignment="1" applyProtection="1">
      <alignment horizontal="center" vertical="center"/>
      <protection locked="0"/>
    </xf>
    <xf numFmtId="184" fontId="80" fillId="54" borderId="99" xfId="47" applyNumberFormat="1" applyFont="1" applyFill="1" applyBorder="1" applyAlignment="1" applyProtection="1">
      <alignment horizontal="center" vertical="center"/>
      <protection hidden="1"/>
    </xf>
    <xf numFmtId="0" fontId="80" fillId="55" borderId="95" xfId="47" applyFont="1" applyFill="1" applyBorder="1" applyAlignment="1" applyProtection="1">
      <alignment horizontal="center" vertical="center"/>
      <protection locked="0"/>
    </xf>
    <xf numFmtId="0" fontId="75" fillId="55" borderId="95" xfId="47" applyFont="1" applyFill="1" applyBorder="1" applyAlignment="1" applyProtection="1">
      <alignment horizontal="center" vertical="center"/>
      <protection locked="0"/>
    </xf>
    <xf numFmtId="0" fontId="65" fillId="55" borderId="95" xfId="47" applyFont="1" applyFill="1" applyBorder="1" applyAlignment="1" applyProtection="1">
      <alignment horizontal="center" vertical="center"/>
      <protection locked="0"/>
    </xf>
    <xf numFmtId="0" fontId="80" fillId="55" borderId="104" xfId="47" applyFont="1" applyFill="1" applyBorder="1" applyAlignment="1" applyProtection="1">
      <alignment horizontal="center" vertical="center"/>
      <protection locked="0"/>
    </xf>
    <xf numFmtId="0" fontId="65" fillId="54" borderId="99" xfId="0" applyFont="1" applyFill="1" applyBorder="1" applyAlignment="1">
      <alignment horizontal="center" vertical="center"/>
    </xf>
    <xf numFmtId="0" fontId="65" fillId="56" borderId="95" xfId="0" applyFont="1" applyFill="1" applyBorder="1" applyAlignment="1">
      <alignment horizontal="center" vertical="center"/>
    </xf>
    <xf numFmtId="184" fontId="65" fillId="54" borderId="95" xfId="0" applyNumberFormat="1" applyFont="1" applyFill="1" applyBorder="1" applyAlignment="1">
      <alignment horizontal="center" vertical="center"/>
    </xf>
    <xf numFmtId="0" fontId="65" fillId="54" borderId="95" xfId="0" applyFont="1" applyFill="1" applyBorder="1" applyAlignment="1">
      <alignment horizontal="center" vertical="center"/>
    </xf>
    <xf numFmtId="0" fontId="65" fillId="56" borderId="104" xfId="0" applyFont="1" applyFill="1" applyBorder="1" applyAlignment="1">
      <alignment horizontal="center" vertical="center"/>
    </xf>
    <xf numFmtId="184" fontId="65" fillId="54" borderId="104" xfId="0" applyNumberFormat="1" applyFont="1" applyFill="1" applyBorder="1" applyAlignment="1">
      <alignment horizontal="center" vertical="center"/>
    </xf>
    <xf numFmtId="0" fontId="65" fillId="54" borderId="104" xfId="0" applyFont="1" applyFill="1" applyBorder="1" applyAlignment="1">
      <alignment horizontal="center" vertical="center"/>
    </xf>
    <xf numFmtId="0" fontId="80" fillId="56" borderId="99" xfId="47" applyFont="1" applyFill="1" applyBorder="1" applyAlignment="1" applyProtection="1">
      <alignment horizontal="center" vertical="center"/>
      <protection locked="0"/>
    </xf>
    <xf numFmtId="0" fontId="75" fillId="55" borderId="99" xfId="47" applyFont="1" applyFill="1" applyBorder="1" applyAlignment="1" applyProtection="1">
      <alignment horizontal="center" vertical="center"/>
      <protection locked="0"/>
    </xf>
    <xf numFmtId="184" fontId="80" fillId="54" borderId="95" xfId="47" applyNumberFormat="1" applyFont="1" applyFill="1" applyBorder="1" applyAlignment="1" applyProtection="1">
      <alignment horizontal="center" vertical="center"/>
      <protection hidden="1"/>
    </xf>
    <xf numFmtId="184" fontId="65" fillId="54" borderId="95" xfId="47" applyNumberFormat="1" applyFont="1" applyFill="1" applyBorder="1" applyAlignment="1" applyProtection="1">
      <alignment horizontal="center" vertical="center"/>
      <protection hidden="1"/>
    </xf>
    <xf numFmtId="184" fontId="80" fillId="54" borderId="104" xfId="47" applyNumberFormat="1" applyFont="1" applyFill="1" applyBorder="1" applyAlignment="1" applyProtection="1">
      <alignment horizontal="center" vertical="center"/>
      <protection hidden="1"/>
    </xf>
    <xf numFmtId="0" fontId="65" fillId="55" borderId="99" xfId="0" applyFont="1" applyFill="1" applyBorder="1" applyAlignment="1">
      <alignment horizontal="center" vertical="center"/>
    </xf>
    <xf numFmtId="0" fontId="65" fillId="55" borderId="95" xfId="0" applyFont="1" applyFill="1" applyBorder="1" applyAlignment="1">
      <alignment horizontal="center" vertical="center"/>
    </xf>
    <xf numFmtId="0" fontId="65" fillId="55" borderId="104" xfId="0" applyFont="1" applyFill="1" applyBorder="1" applyAlignment="1">
      <alignment horizontal="center" vertical="center"/>
    </xf>
    <xf numFmtId="0" fontId="64" fillId="0" borderId="0" xfId="0" applyFont="1"/>
    <xf numFmtId="0" fontId="89" fillId="0" borderId="0" xfId="0" applyFont="1"/>
    <xf numFmtId="0" fontId="64" fillId="58" borderId="104" xfId="0" applyFont="1" applyFill="1" applyBorder="1" applyAlignment="1">
      <alignment horizontal="right"/>
    </xf>
    <xf numFmtId="0" fontId="64" fillId="58" borderId="104" xfId="0" applyFont="1" applyFill="1" applyBorder="1"/>
    <xf numFmtId="0" fontId="58" fillId="54" borderId="117" xfId="0" applyFont="1" applyFill="1" applyBorder="1"/>
    <xf numFmtId="0" fontId="58" fillId="54" borderId="95" xfId="0" applyFont="1" applyFill="1" applyBorder="1"/>
    <xf numFmtId="0" fontId="58" fillId="54" borderId="118" xfId="0" applyFont="1" applyFill="1" applyBorder="1"/>
    <xf numFmtId="0" fontId="58" fillId="54" borderId="116" xfId="0" applyFont="1" applyFill="1" applyBorder="1"/>
    <xf numFmtId="0" fontId="65" fillId="0" borderId="0" xfId="0" applyFont="1" applyAlignment="1">
      <alignment horizontal="center"/>
    </xf>
    <xf numFmtId="0" fontId="65" fillId="0" borderId="0" xfId="0" applyFont="1" applyAlignment="1">
      <alignment horizontal="left"/>
    </xf>
    <xf numFmtId="0" fontId="59" fillId="0" borderId="122" xfId="0" applyFont="1" applyBorder="1"/>
    <xf numFmtId="0" fontId="58" fillId="0" borderId="123" xfId="0" applyFont="1" applyBorder="1"/>
    <xf numFmtId="0" fontId="58" fillId="0" borderId="122" xfId="0" applyFont="1" applyBorder="1"/>
    <xf numFmtId="0" fontId="65" fillId="0" borderId="124" xfId="0" applyFont="1" applyBorder="1"/>
    <xf numFmtId="0" fontId="61" fillId="0" borderId="119" xfId="0" applyFont="1" applyBorder="1"/>
    <xf numFmtId="0" fontId="61" fillId="0" borderId="120" xfId="0" applyFont="1" applyBorder="1"/>
    <xf numFmtId="0" fontId="61" fillId="0" borderId="121" xfId="0" applyFont="1" applyBorder="1"/>
    <xf numFmtId="0" fontId="55" fillId="0" borderId="125" xfId="0" applyFont="1" applyBorder="1"/>
    <xf numFmtId="0" fontId="55" fillId="0" borderId="126" xfId="0" applyFont="1" applyBorder="1"/>
    <xf numFmtId="0" fontId="84" fillId="58" borderId="0" xfId="0" applyFont="1" applyFill="1"/>
    <xf numFmtId="0" fontId="73" fillId="0" borderId="119" xfId="0" applyFont="1" applyBorder="1"/>
    <xf numFmtId="0" fontId="85" fillId="0" borderId="122" xfId="0" applyFont="1" applyBorder="1"/>
    <xf numFmtId="0" fontId="64" fillId="0" borderId="123" xfId="0" applyFont="1" applyBorder="1"/>
    <xf numFmtId="0" fontId="86" fillId="0" borderId="122" xfId="0" applyFont="1" applyBorder="1" applyAlignment="1">
      <alignment vertical="top"/>
    </xf>
    <xf numFmtId="0" fontId="52" fillId="0" borderId="124" xfId="0" applyFont="1" applyBorder="1" applyAlignment="1">
      <alignment vertical="top"/>
    </xf>
    <xf numFmtId="0" fontId="61" fillId="0" borderId="122" xfId="0" applyFont="1" applyBorder="1"/>
    <xf numFmtId="0" fontId="61" fillId="0" borderId="123" xfId="0" applyFont="1" applyBorder="1"/>
    <xf numFmtId="0" fontId="52" fillId="0" borderId="122" xfId="0" applyFont="1" applyBorder="1" applyAlignment="1">
      <alignment vertical="top"/>
    </xf>
    <xf numFmtId="0" fontId="0" fillId="0" borderId="123" xfId="0" applyBorder="1"/>
    <xf numFmtId="189" fontId="80" fillId="54" borderId="99" xfId="47" applyNumberFormat="1" applyFont="1" applyFill="1" applyBorder="1" applyAlignment="1" applyProtection="1">
      <alignment horizontal="center" vertical="center"/>
      <protection hidden="1"/>
    </xf>
    <xf numFmtId="189" fontId="80" fillId="54" borderId="95" xfId="47" applyNumberFormat="1" applyFont="1" applyFill="1" applyBorder="1" applyAlignment="1" applyProtection="1">
      <alignment horizontal="center" vertical="center"/>
      <protection hidden="1"/>
    </xf>
    <xf numFmtId="189" fontId="65" fillId="54" borderId="95" xfId="47" applyNumberFormat="1" applyFont="1" applyFill="1" applyBorder="1" applyAlignment="1" applyProtection="1">
      <alignment horizontal="center" vertical="center"/>
      <protection hidden="1"/>
    </xf>
    <xf numFmtId="189" fontId="80" fillId="54" borderId="104" xfId="47" applyNumberFormat="1" applyFont="1" applyFill="1" applyBorder="1" applyAlignment="1" applyProtection="1">
      <alignment horizontal="center" vertical="center"/>
      <protection hidden="1"/>
    </xf>
    <xf numFmtId="0" fontId="58" fillId="0" borderId="0" xfId="0" applyFont="1" applyAlignment="1">
      <alignment horizontal="center" vertical="center"/>
    </xf>
    <xf numFmtId="0" fontId="85" fillId="60" borderId="112" xfId="0" applyFont="1" applyFill="1" applyBorder="1" applyAlignment="1">
      <alignment horizontal="center" vertical="center"/>
    </xf>
    <xf numFmtId="0" fontId="85" fillId="60" borderId="112" xfId="0" applyFont="1" applyFill="1" applyBorder="1" applyAlignment="1">
      <alignment horizontal="center" vertical="center" wrapText="1"/>
    </xf>
    <xf numFmtId="0" fontId="85" fillId="60" borderId="113" xfId="0" applyFont="1" applyFill="1" applyBorder="1" applyAlignment="1">
      <alignment horizontal="center" vertical="center" wrapText="1"/>
    </xf>
    <xf numFmtId="2" fontId="82" fillId="58" borderId="102" xfId="48" applyNumberFormat="1" applyFont="1" applyFill="1" applyBorder="1" applyAlignment="1">
      <alignment horizontal="center" wrapText="1"/>
    </xf>
    <xf numFmtId="2" fontId="45" fillId="58" borderId="101" xfId="48" applyNumberFormat="1" applyFont="1" applyFill="1" applyBorder="1" applyAlignment="1">
      <alignment wrapText="1"/>
    </xf>
    <xf numFmtId="2" fontId="82" fillId="58" borderId="101" xfId="48" applyNumberFormat="1" applyFont="1" applyFill="1" applyBorder="1" applyAlignment="1">
      <alignment horizontal="center" wrapText="1"/>
    </xf>
    <xf numFmtId="0" fontId="82" fillId="58" borderId="104" xfId="48" applyFont="1" applyFill="1" applyBorder="1" applyAlignment="1">
      <alignment horizontal="center"/>
    </xf>
    <xf numFmtId="0" fontId="59" fillId="50" borderId="0" xfId="0" applyFont="1" applyFill="1" applyAlignment="1">
      <alignment horizontal="center" vertical="center"/>
    </xf>
    <xf numFmtId="0" fontId="65" fillId="0" borderId="0" xfId="0" applyFont="1" applyAlignment="1">
      <alignment horizontal="center" vertical="center"/>
    </xf>
    <xf numFmtId="0" fontId="65" fillId="50" borderId="0" xfId="0" applyFont="1" applyFill="1" applyAlignment="1">
      <alignment horizontal="center" vertical="center"/>
    </xf>
    <xf numFmtId="0" fontId="65" fillId="0" borderId="88" xfId="0" applyFont="1" applyBorder="1" applyAlignment="1">
      <alignment horizontal="center" vertical="center"/>
    </xf>
    <xf numFmtId="0" fontId="65" fillId="0" borderId="89" xfId="0" applyFont="1" applyBorder="1" applyAlignment="1">
      <alignment horizontal="center" vertical="center"/>
    </xf>
    <xf numFmtId="0" fontId="65" fillId="0" borderId="92" xfId="0" applyFont="1" applyBorder="1" applyAlignment="1">
      <alignment horizontal="center" vertical="center"/>
    </xf>
    <xf numFmtId="0" fontId="65" fillId="0" borderId="93" xfId="0" applyFont="1" applyBorder="1" applyAlignment="1">
      <alignment horizontal="center" vertical="center"/>
    </xf>
    <xf numFmtId="0" fontId="65" fillId="0" borderId="0" xfId="0" applyFont="1" applyAlignment="1">
      <alignment horizontal="left" vertical="center"/>
    </xf>
    <xf numFmtId="3" fontId="65" fillId="0" borderId="0" xfId="0" applyNumberFormat="1" applyFont="1" applyAlignment="1">
      <alignment horizontal="center" vertical="center"/>
    </xf>
    <xf numFmtId="0" fontId="59" fillId="0" borderId="90" xfId="0" applyFont="1" applyBorder="1" applyAlignment="1">
      <alignment horizontal="center" vertical="center"/>
    </xf>
    <xf numFmtId="0" fontId="59" fillId="0" borderId="90" xfId="0" applyFont="1" applyBorder="1" applyAlignment="1">
      <alignment horizontal="center" vertical="center" wrapText="1"/>
    </xf>
    <xf numFmtId="0" fontId="59" fillId="0" borderId="91" xfId="0" applyFont="1" applyBorder="1" applyAlignment="1">
      <alignment horizontal="center" vertical="center" wrapText="1"/>
    </xf>
    <xf numFmtId="0" fontId="65" fillId="0" borderId="88" xfId="0" applyFont="1" applyBorder="1" applyAlignment="1">
      <alignment horizontal="left" vertical="center"/>
    </xf>
    <xf numFmtId="0" fontId="77" fillId="0" borderId="0" xfId="63" applyFont="1" applyAlignment="1">
      <alignment horizontal="left" vertical="center"/>
    </xf>
    <xf numFmtId="0" fontId="85" fillId="60" borderId="0" xfId="0" applyFont="1" applyFill="1" applyAlignment="1">
      <alignment horizontal="center" vertical="center" wrapText="1"/>
    </xf>
    <xf numFmtId="0" fontId="65" fillId="0" borderId="88" xfId="0" applyFont="1" applyBorder="1" applyAlignment="1">
      <alignment horizontal="left"/>
    </xf>
    <xf numFmtId="0" fontId="0" fillId="0" borderId="93" xfId="0" applyBorder="1" applyAlignment="1">
      <alignment horizontal="center" vertical="center"/>
    </xf>
    <xf numFmtId="0" fontId="0" fillId="0" borderId="89" xfId="0" applyBorder="1" applyAlignment="1">
      <alignment horizontal="center" vertical="center"/>
    </xf>
    <xf numFmtId="0" fontId="0" fillId="50" borderId="93" xfId="0" applyFill="1" applyBorder="1" applyAlignment="1">
      <alignment horizontal="center" vertical="center"/>
    </xf>
    <xf numFmtId="189" fontId="65" fillId="54" borderId="95" xfId="0" applyNumberFormat="1" applyFont="1" applyFill="1" applyBorder="1" applyAlignment="1">
      <alignment horizontal="center" vertical="center"/>
    </xf>
    <xf numFmtId="189" fontId="65" fillId="54" borderId="104" xfId="0" applyNumberFormat="1" applyFont="1" applyFill="1" applyBorder="1" applyAlignment="1">
      <alignment horizontal="center" vertical="center"/>
    </xf>
    <xf numFmtId="173" fontId="80" fillId="54" borderId="99" xfId="47" applyNumberFormat="1" applyFont="1" applyFill="1" applyBorder="1" applyAlignment="1" applyProtection="1">
      <alignment horizontal="center" vertical="center"/>
      <protection hidden="1"/>
    </xf>
    <xf numFmtId="173" fontId="65" fillId="54" borderId="99" xfId="0" applyNumberFormat="1" applyFont="1" applyFill="1" applyBorder="1" applyAlignment="1">
      <alignment horizontal="center" vertical="center"/>
    </xf>
    <xf numFmtId="173" fontId="65" fillId="54" borderId="95" xfId="0" applyNumberFormat="1" applyFont="1" applyFill="1" applyBorder="1" applyAlignment="1">
      <alignment horizontal="center" vertical="center"/>
    </xf>
    <xf numFmtId="173" fontId="65" fillId="54" borderId="104" xfId="0" applyNumberFormat="1" applyFont="1" applyFill="1" applyBorder="1" applyAlignment="1">
      <alignment horizontal="center" vertical="center"/>
    </xf>
    <xf numFmtId="0" fontId="59" fillId="60" borderId="93" xfId="0" applyFont="1" applyFill="1" applyBorder="1" applyAlignment="1">
      <alignment horizontal="center" vertical="center"/>
    </xf>
    <xf numFmtId="0" fontId="0" fillId="0" borderId="136" xfId="0" applyBorder="1"/>
    <xf numFmtId="0" fontId="0" fillId="0" borderId="137" xfId="0" applyBorder="1"/>
    <xf numFmtId="0" fontId="0" fillId="0" borderId="138" xfId="0" applyBorder="1"/>
    <xf numFmtId="0" fontId="0" fillId="0" borderId="139" xfId="0" applyBorder="1"/>
    <xf numFmtId="0" fontId="0" fillId="0" borderId="141" xfId="0" applyBorder="1"/>
    <xf numFmtId="0" fontId="91" fillId="58" borderId="0" xfId="0" applyFont="1" applyFill="1"/>
    <xf numFmtId="0" fontId="87" fillId="0" borderId="0" xfId="0" applyFont="1"/>
    <xf numFmtId="0" fontId="51" fillId="0" borderId="0" xfId="0" applyFont="1" applyAlignment="1">
      <alignment wrapText="1"/>
    </xf>
    <xf numFmtId="0" fontId="51" fillId="0" borderId="140" xfId="0" applyFont="1" applyBorder="1" applyAlignment="1">
      <alignment wrapText="1"/>
    </xf>
    <xf numFmtId="0" fontId="52" fillId="0" borderId="137" xfId="0" applyFont="1" applyBorder="1"/>
    <xf numFmtId="0" fontId="92" fillId="0" borderId="0" xfId="0" applyFont="1"/>
    <xf numFmtId="0" fontId="54" fillId="54" borderId="95" xfId="0" applyFont="1" applyFill="1" applyBorder="1"/>
    <xf numFmtId="0" fontId="0" fillId="57" borderId="85" xfId="0" applyFill="1" applyBorder="1"/>
    <xf numFmtId="0" fontId="0" fillId="54" borderId="85" xfId="0" applyFill="1" applyBorder="1" applyAlignment="1">
      <alignment horizontal="left" indent="2"/>
    </xf>
    <xf numFmtId="0" fontId="53" fillId="45" borderId="0" xfId="63" applyFill="1" applyAlignment="1">
      <alignment vertical="top"/>
    </xf>
    <xf numFmtId="0" fontId="0" fillId="45" borderId="0" xfId="0" applyFill="1" applyAlignment="1">
      <alignment horizontal="left" indent="2"/>
    </xf>
    <xf numFmtId="0" fontId="0" fillId="55" borderId="0" xfId="0" applyFill="1"/>
    <xf numFmtId="0" fontId="93" fillId="0" borderId="122" xfId="123" applyFont="1" applyBorder="1" applyAlignment="1">
      <alignment horizontal="left" wrapText="1"/>
    </xf>
    <xf numFmtId="0" fontId="93" fillId="0" borderId="0" xfId="123" applyFont="1" applyAlignment="1">
      <alignment horizontal="left" wrapText="1"/>
    </xf>
    <xf numFmtId="0" fontId="93" fillId="0" borderId="123" xfId="123" applyFont="1" applyBorder="1" applyAlignment="1">
      <alignment horizontal="left" wrapText="1"/>
    </xf>
    <xf numFmtId="0" fontId="94" fillId="0" borderId="119" xfId="123" applyFont="1" applyBorder="1"/>
    <xf numFmtId="0" fontId="0" fillId="0" borderId="120" xfId="0" applyBorder="1"/>
    <xf numFmtId="0" fontId="0" fillId="0" borderId="121" xfId="0" applyBorder="1"/>
    <xf numFmtId="0" fontId="93" fillId="0" borderId="122" xfId="123" applyFont="1" applyBorder="1"/>
    <xf numFmtId="0" fontId="94" fillId="0" borderId="122" xfId="123" applyFont="1" applyBorder="1"/>
    <xf numFmtId="0" fontId="94" fillId="0" borderId="0" xfId="123" applyFont="1"/>
    <xf numFmtId="0" fontId="81" fillId="58" borderId="105" xfId="48" applyFont="1" applyFill="1" applyBorder="1"/>
    <xf numFmtId="0" fontId="82" fillId="58" borderId="106" xfId="48" applyFont="1" applyFill="1" applyBorder="1"/>
    <xf numFmtId="0" fontId="56" fillId="58" borderId="106" xfId="48" applyFont="1" applyFill="1" applyBorder="1" applyAlignment="1">
      <alignment vertical="top"/>
    </xf>
    <xf numFmtId="0" fontId="81" fillId="58" borderId="106" xfId="48" applyFont="1" applyFill="1" applyBorder="1"/>
    <xf numFmtId="0" fontId="82" fillId="58" borderId="103" xfId="48" applyFont="1" applyFill="1" applyBorder="1"/>
    <xf numFmtId="0" fontId="82" fillId="58" borderId="105" xfId="48" applyFont="1" applyFill="1" applyBorder="1"/>
    <xf numFmtId="0" fontId="82" fillId="58" borderId="107" xfId="48" applyFont="1" applyFill="1" applyBorder="1"/>
    <xf numFmtId="0" fontId="93" fillId="58" borderId="110" xfId="48" applyFont="1" applyFill="1" applyBorder="1"/>
    <xf numFmtId="0" fontId="93" fillId="58" borderId="0" xfId="48" applyFont="1" applyFill="1"/>
    <xf numFmtId="0" fontId="82" fillId="58" borderId="95" xfId="48" applyFont="1" applyFill="1" applyBorder="1"/>
    <xf numFmtId="2" fontId="95" fillId="58" borderId="110" xfId="48" applyNumberFormat="1" applyFont="1" applyFill="1" applyBorder="1" applyAlignment="1">
      <alignment horizontal="center" wrapText="1"/>
    </xf>
    <xf numFmtId="0" fontId="82" fillId="58" borderId="102" xfId="48" applyFont="1" applyFill="1" applyBorder="1"/>
    <xf numFmtId="0" fontId="82" fillId="58" borderId="109" xfId="48" applyFont="1" applyFill="1" applyBorder="1"/>
    <xf numFmtId="0" fontId="82" fillId="58" borderId="101" xfId="48" applyFont="1" applyFill="1" applyBorder="1"/>
    <xf numFmtId="0" fontId="95" fillId="58" borderId="110" xfId="48" applyFont="1" applyFill="1" applyBorder="1" applyAlignment="1">
      <alignment horizontal="center" wrapText="1"/>
    </xf>
    <xf numFmtId="0" fontId="93" fillId="58" borderId="110" xfId="48" applyFont="1" applyFill="1" applyBorder="1" applyAlignment="1">
      <alignment horizontal="center" wrapText="1"/>
    </xf>
    <xf numFmtId="1" fontId="93" fillId="55" borderId="95" xfId="48" applyNumberFormat="1" applyFont="1" applyFill="1" applyBorder="1" applyAlignment="1">
      <alignment wrapText="1"/>
    </xf>
    <xf numFmtId="2" fontId="93" fillId="56" borderId="95" xfId="48" applyNumberFormat="1" applyFont="1" applyFill="1" applyBorder="1" applyAlignment="1">
      <alignment wrapText="1"/>
    </xf>
    <xf numFmtId="2" fontId="93" fillId="55" borderId="102" xfId="48" applyNumberFormat="1" applyFont="1" applyFill="1" applyBorder="1" applyAlignment="1">
      <alignment wrapText="1"/>
    </xf>
    <xf numFmtId="2" fontId="93" fillId="56" borderId="129" xfId="48" applyNumberFormat="1" applyFont="1" applyFill="1" applyBorder="1" applyAlignment="1">
      <alignment wrapText="1"/>
    </xf>
    <xf numFmtId="2" fontId="93" fillId="56" borderId="131" xfId="48" applyNumberFormat="1" applyFont="1" applyFill="1" applyBorder="1" applyAlignment="1">
      <alignment wrapText="1"/>
    </xf>
    <xf numFmtId="2" fontId="93" fillId="56" borderId="130" xfId="48" applyNumberFormat="1" applyFont="1" applyFill="1" applyBorder="1" applyAlignment="1">
      <alignment wrapText="1"/>
    </xf>
    <xf numFmtId="11" fontId="93" fillId="54" borderId="101" xfId="48" applyNumberFormat="1" applyFont="1" applyFill="1" applyBorder="1"/>
    <xf numFmtId="2" fontId="93" fillId="54" borderId="95" xfId="48" applyNumberFormat="1" applyFont="1" applyFill="1" applyBorder="1" applyAlignment="1">
      <alignment wrapText="1"/>
    </xf>
    <xf numFmtId="2" fontId="93" fillId="56" borderId="95" xfId="48" applyNumberFormat="1" applyFont="1" applyFill="1" applyBorder="1" applyAlignment="1">
      <alignment horizontal="center" wrapText="1"/>
    </xf>
    <xf numFmtId="185" fontId="93" fillId="56" borderId="95" xfId="48" applyNumberFormat="1" applyFont="1" applyFill="1" applyBorder="1" applyAlignment="1">
      <alignment horizontal="center" wrapText="1"/>
    </xf>
    <xf numFmtId="2" fontId="93" fillId="54" borderId="95" xfId="48" applyNumberFormat="1" applyFont="1" applyFill="1" applyBorder="1" applyAlignment="1">
      <alignment horizontal="center" wrapText="1"/>
    </xf>
    <xf numFmtId="2" fontId="93" fillId="56" borderId="132" xfId="48" applyNumberFormat="1" applyFont="1" applyFill="1" applyBorder="1" applyAlignment="1">
      <alignment wrapText="1"/>
    </xf>
    <xf numFmtId="2" fontId="93" fillId="56" borderId="133" xfId="48" applyNumberFormat="1" applyFont="1" applyFill="1" applyBorder="1" applyAlignment="1">
      <alignment wrapText="1"/>
    </xf>
    <xf numFmtId="2" fontId="93" fillId="56" borderId="104" xfId="48" applyNumberFormat="1" applyFont="1" applyFill="1" applyBorder="1" applyAlignment="1">
      <alignment wrapText="1"/>
    </xf>
    <xf numFmtId="2" fontId="93" fillId="56" borderId="134" xfId="48" applyNumberFormat="1" applyFont="1" applyFill="1" applyBorder="1" applyAlignment="1">
      <alignment wrapText="1"/>
    </xf>
    <xf numFmtId="2" fontId="93" fillId="56" borderId="135" xfId="48" applyNumberFormat="1" applyFont="1" applyFill="1" applyBorder="1" applyAlignment="1">
      <alignment wrapText="1"/>
    </xf>
    <xf numFmtId="2" fontId="93" fillId="56" borderId="127" xfId="48" applyNumberFormat="1" applyFont="1" applyFill="1" applyBorder="1" applyAlignment="1">
      <alignment wrapText="1"/>
    </xf>
    <xf numFmtId="2" fontId="93" fillId="54" borderId="104" xfId="48" applyNumberFormat="1" applyFont="1" applyFill="1" applyBorder="1" applyAlignment="1">
      <alignment wrapText="1"/>
    </xf>
    <xf numFmtId="2" fontId="93" fillId="56" borderId="104" xfId="48" applyNumberFormat="1" applyFont="1" applyFill="1" applyBorder="1" applyAlignment="1">
      <alignment horizontal="center" wrapText="1"/>
    </xf>
    <xf numFmtId="185" fontId="93" fillId="56" borderId="104" xfId="48" applyNumberFormat="1" applyFont="1" applyFill="1" applyBorder="1" applyAlignment="1">
      <alignment horizontal="center" wrapText="1"/>
    </xf>
    <xf numFmtId="2" fontId="45" fillId="58" borderId="114" xfId="48" applyNumberFormat="1" applyFont="1" applyFill="1" applyBorder="1"/>
    <xf numFmtId="2" fontId="45" fillId="58" borderId="0" xfId="48" applyNumberFormat="1" applyFont="1" applyFill="1"/>
    <xf numFmtId="2" fontId="45" fillId="58" borderId="100" xfId="48" applyNumberFormat="1" applyFont="1" applyFill="1" applyBorder="1"/>
    <xf numFmtId="11" fontId="45" fillId="58" borderId="101" xfId="48" applyNumberFormat="1" applyFont="1" applyFill="1" applyBorder="1"/>
    <xf numFmtId="2" fontId="95" fillId="58" borderId="0" xfId="48" applyNumberFormat="1" applyFont="1" applyFill="1" applyAlignment="1">
      <alignment horizontal="center" wrapText="1"/>
    </xf>
    <xf numFmtId="0" fontId="96" fillId="58" borderId="0" xfId="48" applyFont="1" applyFill="1" applyAlignment="1">
      <alignment vertical="top"/>
    </xf>
    <xf numFmtId="2" fontId="93" fillId="58" borderId="0" xfId="48" applyNumberFormat="1" applyFont="1" applyFill="1" applyAlignment="1">
      <alignment wrapText="1"/>
    </xf>
    <xf numFmtId="0" fontId="93" fillId="58" borderId="107" xfId="48" applyFont="1" applyFill="1" applyBorder="1"/>
    <xf numFmtId="0" fontId="81" fillId="58" borderId="105" xfId="59" applyFont="1" applyFill="1" applyBorder="1"/>
    <xf numFmtId="0" fontId="82" fillId="58" borderId="106" xfId="59" applyFont="1" applyFill="1" applyBorder="1"/>
    <xf numFmtId="0" fontId="56" fillId="58" borderId="106" xfId="59" applyFont="1" applyFill="1" applyBorder="1" applyAlignment="1">
      <alignment vertical="top"/>
    </xf>
    <xf numFmtId="0" fontId="81" fillId="58" borderId="106" xfId="59" applyFont="1" applyFill="1" applyBorder="1"/>
    <xf numFmtId="0" fontId="82" fillId="58" borderId="103" xfId="59" applyFont="1" applyFill="1" applyBorder="1"/>
    <xf numFmtId="0" fontId="56" fillId="58" borderId="97" xfId="59" applyFont="1" applyFill="1" applyBorder="1"/>
    <xf numFmtId="0" fontId="81" fillId="58" borderId="0" xfId="59" applyFont="1" applyFill="1"/>
    <xf numFmtId="0" fontId="82" fillId="58" borderId="0" xfId="59" applyFont="1" applyFill="1"/>
    <xf numFmtId="0" fontId="82" fillId="58" borderId="107" xfId="59" applyFont="1" applyFill="1" applyBorder="1"/>
    <xf numFmtId="0" fontId="56" fillId="58" borderId="100" xfId="59" applyFont="1" applyFill="1" applyBorder="1"/>
    <xf numFmtId="0" fontId="81" fillId="58" borderId="108" xfId="59" applyFont="1" applyFill="1" applyBorder="1"/>
    <xf numFmtId="0" fontId="82" fillId="58" borderId="108" xfId="59" applyFont="1" applyFill="1" applyBorder="1"/>
    <xf numFmtId="0" fontId="82" fillId="58" borderId="99" xfId="59" applyFont="1" applyFill="1" applyBorder="1" applyAlignment="1">
      <alignment horizontal="center"/>
    </xf>
    <xf numFmtId="0" fontId="82" fillId="58" borderId="100" xfId="59" applyFont="1" applyFill="1" applyBorder="1" applyAlignment="1">
      <alignment horizontal="center"/>
    </xf>
    <xf numFmtId="0" fontId="82" fillId="58" borderId="110" xfId="59" applyFont="1" applyFill="1" applyBorder="1"/>
    <xf numFmtId="2" fontId="45" fillId="58" borderId="102" xfId="59" applyNumberFormat="1" applyFont="1" applyFill="1" applyBorder="1" applyAlignment="1">
      <alignment horizontal="center" wrapText="1"/>
    </xf>
    <xf numFmtId="2" fontId="45" fillId="58" borderId="110" xfId="59" applyNumberFormat="1" applyFont="1" applyFill="1" applyBorder="1" applyAlignment="1">
      <alignment horizontal="center" wrapText="1"/>
    </xf>
    <xf numFmtId="2" fontId="82" fillId="58" borderId="95" xfId="59" applyNumberFormat="1" applyFont="1" applyFill="1" applyBorder="1" applyAlignment="1">
      <alignment horizontal="center" wrapText="1"/>
    </xf>
    <xf numFmtId="2" fontId="82" fillId="58" borderId="102" xfId="59" applyNumberFormat="1" applyFont="1" applyFill="1" applyBorder="1" applyAlignment="1">
      <alignment horizontal="center" wrapText="1"/>
    </xf>
    <xf numFmtId="0" fontId="45" fillId="58" borderId="110" xfId="59" applyFont="1" applyFill="1" applyBorder="1" applyAlignment="1">
      <alignment horizontal="center" wrapText="1"/>
    </xf>
    <xf numFmtId="0" fontId="82" fillId="58" borderId="110" xfId="59" applyFont="1" applyFill="1" applyBorder="1" applyAlignment="1">
      <alignment horizontal="center" wrapText="1"/>
    </xf>
    <xf numFmtId="2" fontId="93" fillId="55" borderId="95" xfId="48" applyNumberFormat="1" applyFont="1" applyFill="1" applyBorder="1" applyAlignment="1">
      <alignment wrapText="1"/>
    </xf>
    <xf numFmtId="2" fontId="93" fillId="56" borderId="95" xfId="59" applyNumberFormat="1" applyFont="1" applyFill="1" applyBorder="1" applyAlignment="1">
      <alignment wrapText="1"/>
    </xf>
    <xf numFmtId="2" fontId="93" fillId="56" borderId="129" xfId="59" applyNumberFormat="1" applyFont="1" applyFill="1" applyBorder="1" applyAlignment="1">
      <alignment wrapText="1"/>
    </xf>
    <xf numFmtId="2" fontId="93" fillId="56" borderId="131" xfId="59" applyNumberFormat="1" applyFont="1" applyFill="1" applyBorder="1" applyAlignment="1">
      <alignment wrapText="1"/>
    </xf>
    <xf numFmtId="2" fontId="93" fillId="56" borderId="130" xfId="59" applyNumberFormat="1" applyFont="1" applyFill="1" applyBorder="1" applyAlignment="1">
      <alignment wrapText="1"/>
    </xf>
    <xf numFmtId="2" fontId="93" fillId="56" borderId="101" xfId="59" applyNumberFormat="1" applyFont="1" applyFill="1" applyBorder="1" applyAlignment="1">
      <alignment wrapText="1"/>
    </xf>
    <xf numFmtId="11" fontId="93" fillId="59" borderId="95" xfId="59" applyNumberFormat="1" applyFont="1" applyFill="1" applyBorder="1"/>
    <xf numFmtId="0" fontId="93" fillId="58" borderId="110" xfId="59" applyFont="1" applyFill="1" applyBorder="1"/>
    <xf numFmtId="2" fontId="93" fillId="56" borderId="132" xfId="59" applyNumberFormat="1" applyFont="1" applyFill="1" applyBorder="1" applyAlignment="1">
      <alignment wrapText="1"/>
    </xf>
    <xf numFmtId="2" fontId="93" fillId="56" borderId="133" xfId="59" applyNumberFormat="1" applyFont="1" applyFill="1" applyBorder="1" applyAlignment="1">
      <alignment wrapText="1"/>
    </xf>
    <xf numFmtId="2" fontId="93" fillId="56" borderId="134" xfId="59" applyNumberFormat="1" applyFont="1" applyFill="1" applyBorder="1" applyAlignment="1">
      <alignment wrapText="1"/>
    </xf>
    <xf numFmtId="2" fontId="93" fillId="56" borderId="135" xfId="59" applyNumberFormat="1" applyFont="1" applyFill="1" applyBorder="1" applyAlignment="1">
      <alignment wrapText="1"/>
    </xf>
    <xf numFmtId="2" fontId="93" fillId="56" borderId="127" xfId="59" applyNumberFormat="1" applyFont="1" applyFill="1" applyBorder="1" applyAlignment="1">
      <alignment wrapText="1"/>
    </xf>
    <xf numFmtId="2" fontId="45" fillId="58" borderId="96" xfId="59" applyNumberFormat="1" applyFont="1" applyFill="1" applyBorder="1"/>
    <xf numFmtId="0" fontId="82" fillId="58" borderId="111" xfId="59" applyFont="1" applyFill="1" applyBorder="1"/>
    <xf numFmtId="0" fontId="82" fillId="58" borderId="109" xfId="59" applyFont="1" applyFill="1" applyBorder="1"/>
    <xf numFmtId="0" fontId="82" fillId="58" borderId="101" xfId="59" applyFont="1" applyFill="1" applyBorder="1"/>
    <xf numFmtId="11" fontId="45" fillId="58" borderId="99" xfId="59" applyNumberFormat="1" applyFont="1" applyFill="1" applyBorder="1"/>
    <xf numFmtId="0" fontId="96" fillId="58" borderId="105" xfId="59" applyFont="1" applyFill="1" applyBorder="1" applyAlignment="1">
      <alignment vertical="top"/>
    </xf>
    <xf numFmtId="2" fontId="82" fillId="58" borderId="0" xfId="59" applyNumberFormat="1" applyFont="1" applyFill="1" applyAlignment="1">
      <alignment wrapText="1"/>
    </xf>
    <xf numFmtId="2" fontId="45" fillId="58" borderId="100" xfId="59" applyNumberFormat="1" applyFont="1" applyFill="1" applyBorder="1" applyAlignment="1">
      <alignment horizontal="center" wrapText="1"/>
    </xf>
    <xf numFmtId="2" fontId="45" fillId="58" borderId="108" xfId="59" applyNumberFormat="1" applyFont="1" applyFill="1" applyBorder="1" applyAlignment="1">
      <alignment horizontal="center" wrapText="1"/>
    </xf>
    <xf numFmtId="0" fontId="82" fillId="58" borderId="98" xfId="59" applyFont="1" applyFill="1" applyBorder="1"/>
    <xf numFmtId="0" fontId="81" fillId="58" borderId="105" xfId="61" applyFont="1" applyFill="1" applyBorder="1"/>
    <xf numFmtId="0" fontId="82" fillId="58" borderId="106" xfId="61" applyFont="1" applyFill="1" applyBorder="1"/>
    <xf numFmtId="0" fontId="56" fillId="58" borderId="106" xfId="61" applyFont="1" applyFill="1" applyBorder="1" applyAlignment="1">
      <alignment vertical="top"/>
    </xf>
    <xf numFmtId="0" fontId="81" fillId="58" borderId="106" xfId="61" applyFont="1" applyFill="1" applyBorder="1"/>
    <xf numFmtId="0" fontId="82" fillId="58" borderId="103" xfId="61" applyFont="1" applyFill="1" applyBorder="1"/>
    <xf numFmtId="0" fontId="56" fillId="58" borderId="97" xfId="61" applyFont="1" applyFill="1" applyBorder="1"/>
    <xf numFmtId="0" fontId="81" fillId="58" borderId="0" xfId="61" applyFont="1" applyFill="1"/>
    <xf numFmtId="0" fontId="82" fillId="58" borderId="0" xfId="61" applyFont="1" applyFill="1"/>
    <xf numFmtId="0" fontId="82" fillId="58" borderId="107" xfId="61" applyFont="1" applyFill="1" applyBorder="1"/>
    <xf numFmtId="0" fontId="56" fillId="58" borderId="100" xfId="61" applyFont="1" applyFill="1" applyBorder="1"/>
    <xf numFmtId="0" fontId="81" fillId="58" borderId="108" xfId="61" applyFont="1" applyFill="1" applyBorder="1"/>
    <xf numFmtId="0" fontId="82" fillId="58" borderId="108" xfId="61" applyFont="1" applyFill="1" applyBorder="1"/>
    <xf numFmtId="0" fontId="82" fillId="58" borderId="98" xfId="61" applyFont="1" applyFill="1" applyBorder="1"/>
    <xf numFmtId="0" fontId="82" fillId="58" borderId="97" xfId="61" applyFont="1" applyFill="1" applyBorder="1" applyAlignment="1">
      <alignment horizontal="center"/>
    </xf>
    <xf numFmtId="0" fontId="82" fillId="58" borderId="0" xfId="61" applyFont="1" applyFill="1" applyAlignment="1">
      <alignment horizontal="center"/>
    </xf>
    <xf numFmtId="2" fontId="82" fillId="58" borderId="95" xfId="61" applyNumberFormat="1" applyFont="1" applyFill="1" applyBorder="1" applyAlignment="1">
      <alignment horizontal="center" wrapText="1"/>
    </xf>
    <xf numFmtId="2" fontId="45" fillId="58" borderId="107" xfId="61" applyNumberFormat="1" applyFont="1" applyFill="1" applyBorder="1" applyAlignment="1">
      <alignment horizontal="center" wrapText="1"/>
    </xf>
    <xf numFmtId="0" fontId="45" fillId="58" borderId="107" xfId="61" applyFont="1" applyFill="1" applyBorder="1" applyAlignment="1">
      <alignment horizontal="center" wrapText="1"/>
    </xf>
    <xf numFmtId="0" fontId="82" fillId="58" borderId="107" xfId="61" applyFont="1" applyFill="1" applyBorder="1" applyAlignment="1">
      <alignment horizontal="center" wrapText="1"/>
    </xf>
    <xf numFmtId="2" fontId="93" fillId="56" borderId="95" xfId="61" applyNumberFormat="1" applyFont="1" applyFill="1" applyBorder="1" applyAlignment="1">
      <alignment wrapText="1"/>
    </xf>
    <xf numFmtId="2" fontId="93" fillId="56" borderId="129" xfId="61" applyNumberFormat="1" applyFont="1" applyFill="1" applyBorder="1" applyAlignment="1">
      <alignment wrapText="1"/>
    </xf>
    <xf numFmtId="2" fontId="93" fillId="56" borderId="130" xfId="61" applyNumberFormat="1" applyFont="1" applyFill="1" applyBorder="1" applyAlignment="1">
      <alignment wrapText="1"/>
    </xf>
    <xf numFmtId="2" fontId="93" fillId="56" borderId="131" xfId="61" applyNumberFormat="1" applyFont="1" applyFill="1" applyBorder="1" applyAlignment="1">
      <alignment wrapText="1"/>
    </xf>
    <xf numFmtId="2" fontId="93" fillId="56" borderId="101" xfId="61" applyNumberFormat="1" applyFont="1" applyFill="1" applyBorder="1" applyAlignment="1">
      <alignment wrapText="1"/>
    </xf>
    <xf numFmtId="11" fontId="93" fillId="59" borderId="95" xfId="61" applyNumberFormat="1" applyFont="1" applyFill="1" applyBorder="1"/>
    <xf numFmtId="0" fontId="93" fillId="58" borderId="107" xfId="61" applyFont="1" applyFill="1" applyBorder="1"/>
    <xf numFmtId="2" fontId="93" fillId="56" borderId="132" xfId="61" applyNumberFormat="1" applyFont="1" applyFill="1" applyBorder="1" applyAlignment="1">
      <alignment wrapText="1"/>
    </xf>
    <xf numFmtId="2" fontId="93" fillId="56" borderId="133" xfId="61" applyNumberFormat="1" applyFont="1" applyFill="1" applyBorder="1" applyAlignment="1">
      <alignment wrapText="1"/>
    </xf>
    <xf numFmtId="2" fontId="93" fillId="56" borderId="134" xfId="61" applyNumberFormat="1" applyFont="1" applyFill="1" applyBorder="1" applyAlignment="1">
      <alignment wrapText="1"/>
    </xf>
    <xf numFmtId="2" fontId="93" fillId="56" borderId="127" xfId="61" applyNumberFormat="1" applyFont="1" applyFill="1" applyBorder="1" applyAlignment="1">
      <alignment wrapText="1"/>
    </xf>
    <xf numFmtId="2" fontId="93" fillId="56" borderId="135" xfId="61" applyNumberFormat="1" applyFont="1" applyFill="1" applyBorder="1" applyAlignment="1">
      <alignment wrapText="1"/>
    </xf>
    <xf numFmtId="2" fontId="45" fillId="58" borderId="99" xfId="61" applyNumberFormat="1" applyFont="1" applyFill="1" applyBorder="1"/>
    <xf numFmtId="0" fontId="82" fillId="58" borderId="99" xfId="61" applyFont="1" applyFill="1" applyBorder="1"/>
    <xf numFmtId="11" fontId="45" fillId="58" borderId="99" xfId="61" applyNumberFormat="1" applyFont="1" applyFill="1" applyBorder="1"/>
    <xf numFmtId="0" fontId="96" fillId="58" borderId="97" xfId="61" applyFont="1" applyFill="1" applyBorder="1" applyAlignment="1">
      <alignment vertical="top"/>
    </xf>
    <xf numFmtId="2" fontId="82" fillId="58" borderId="0" xfId="61" applyNumberFormat="1" applyFont="1" applyFill="1" applyAlignment="1">
      <alignment wrapText="1"/>
    </xf>
    <xf numFmtId="2" fontId="45" fillId="58" borderId="100" xfId="61" applyNumberFormat="1" applyFont="1" applyFill="1" applyBorder="1" applyAlignment="1">
      <alignment horizontal="center" wrapText="1"/>
    </xf>
    <xf numFmtId="2" fontId="45" fillId="58" borderId="108" xfId="61" applyNumberFormat="1" applyFont="1" applyFill="1" applyBorder="1" applyAlignment="1">
      <alignment horizontal="center" wrapText="1"/>
    </xf>
    <xf numFmtId="0" fontId="0" fillId="0" borderId="125" xfId="0" applyBorder="1"/>
    <xf numFmtId="0" fontId="0" fillId="0" borderId="126" xfId="0" applyBorder="1"/>
    <xf numFmtId="0" fontId="78" fillId="58" borderId="95" xfId="47" applyFont="1" applyFill="1" applyBorder="1" applyAlignment="1">
      <alignment vertical="center" wrapText="1"/>
    </xf>
    <xf numFmtId="0" fontId="78" fillId="58" borderId="104" xfId="0" applyFont="1" applyFill="1" applyBorder="1" applyAlignment="1">
      <alignment horizontal="center" vertical="center" wrapText="1"/>
    </xf>
    <xf numFmtId="2" fontId="78" fillId="58" borderId="99" xfId="0" applyNumberFormat="1" applyFont="1" applyFill="1" applyBorder="1"/>
    <xf numFmtId="0" fontId="78" fillId="58" borderId="98" xfId="0" applyFont="1" applyFill="1" applyBorder="1" applyAlignment="1">
      <alignment horizontal="center" vertical="center"/>
    </xf>
    <xf numFmtId="0" fontId="78" fillId="58" borderId="99" xfId="0" applyFont="1" applyFill="1" applyBorder="1" applyAlignment="1">
      <alignment horizontal="center" vertical="center"/>
    </xf>
    <xf numFmtId="0" fontId="78" fillId="58" borderId="99" xfId="0" applyFont="1" applyFill="1" applyBorder="1" applyAlignment="1">
      <alignment horizontal="center" vertical="center" wrapText="1"/>
    </xf>
    <xf numFmtId="0" fontId="56" fillId="58" borderId="99" xfId="0" applyFont="1" applyFill="1" applyBorder="1" applyAlignment="1">
      <alignment horizontal="center" vertical="center"/>
    </xf>
    <xf numFmtId="0" fontId="78" fillId="58" borderId="100" xfId="0" applyFont="1" applyFill="1" applyBorder="1" applyAlignment="1">
      <alignment horizontal="center" vertical="center" wrapText="1"/>
    </xf>
    <xf numFmtId="0" fontId="0" fillId="55" borderId="101" xfId="0" applyFill="1" applyBorder="1" applyAlignment="1">
      <alignment horizontal="center" vertical="center"/>
    </xf>
    <xf numFmtId="0" fontId="0" fillId="55" borderId="95" xfId="0" applyFill="1" applyBorder="1" applyAlignment="1">
      <alignment horizontal="center" vertical="center"/>
    </xf>
    <xf numFmtId="0" fontId="0" fillId="56" borderId="95" xfId="0" applyFill="1" applyBorder="1" applyAlignment="1">
      <alignment horizontal="center" vertical="center"/>
    </xf>
    <xf numFmtId="175" fontId="0" fillId="54" borderId="95" xfId="0" applyNumberFormat="1" applyFill="1" applyBorder="1" applyAlignment="1">
      <alignment horizontal="center" vertical="center"/>
    </xf>
    <xf numFmtId="0" fontId="0" fillId="54" borderId="102" xfId="0" applyFill="1" applyBorder="1"/>
    <xf numFmtId="0" fontId="0" fillId="55" borderId="104" xfId="0" applyFill="1" applyBorder="1" applyAlignment="1">
      <alignment horizontal="center" vertical="center"/>
    </xf>
    <xf numFmtId="0" fontId="0" fillId="56" borderId="104" xfId="0" applyFill="1" applyBorder="1" applyAlignment="1">
      <alignment horizontal="center" vertical="center"/>
    </xf>
    <xf numFmtId="175" fontId="0" fillId="54" borderId="104" xfId="0" applyNumberFormat="1" applyFill="1" applyBorder="1" applyAlignment="1">
      <alignment horizontal="center" vertical="center"/>
    </xf>
    <xf numFmtId="0" fontId="0" fillId="54" borderId="105" xfId="0" applyFill="1" applyBorder="1"/>
    <xf numFmtId="2" fontId="95" fillId="58" borderId="107" xfId="48" applyNumberFormat="1" applyFont="1" applyFill="1" applyBorder="1" applyAlignment="1">
      <alignment horizontal="center" wrapText="1"/>
    </xf>
    <xf numFmtId="2" fontId="93" fillId="50" borderId="61" xfId="48" applyNumberFormat="1" applyFont="1" applyFill="1" applyBorder="1" applyAlignment="1">
      <alignment horizontal="center" wrapText="1"/>
    </xf>
    <xf numFmtId="0" fontId="95" fillId="58" borderId="107" xfId="48" applyFont="1" applyFill="1" applyBorder="1" applyAlignment="1">
      <alignment horizontal="center" wrapText="1"/>
    </xf>
    <xf numFmtId="0" fontId="93" fillId="58" borderId="107" xfId="48" applyFont="1" applyFill="1" applyBorder="1" applyAlignment="1">
      <alignment horizontal="center" wrapText="1"/>
    </xf>
    <xf numFmtId="2" fontId="93" fillId="35" borderId="61" xfId="48" applyNumberFormat="1" applyFont="1" applyFill="1" applyBorder="1" applyAlignment="1">
      <alignment wrapText="1"/>
    </xf>
    <xf numFmtId="11" fontId="93" fillId="32" borderId="61" xfId="48" applyNumberFormat="1" applyFont="1" applyFill="1" applyBorder="1" applyAlignment="1" applyProtection="1">
      <alignment horizontal="center"/>
      <protection locked="0"/>
    </xf>
    <xf numFmtId="3" fontId="93" fillId="0" borderId="61" xfId="48" applyNumberFormat="1" applyFont="1" applyBorder="1"/>
    <xf numFmtId="11" fontId="93" fillId="35" borderId="61" xfId="48" applyNumberFormat="1" applyFont="1" applyFill="1" applyBorder="1"/>
    <xf numFmtId="2" fontId="95" fillId="50" borderId="61" xfId="48" applyNumberFormat="1" applyFont="1" applyFill="1" applyBorder="1"/>
    <xf numFmtId="0" fontId="93" fillId="50" borderId="8" xfId="48" applyFont="1" applyFill="1" applyBorder="1"/>
    <xf numFmtId="0" fontId="95" fillId="35" borderId="67" xfId="48" applyFont="1" applyFill="1" applyBorder="1"/>
    <xf numFmtId="2" fontId="93" fillId="50" borderId="61" xfId="59" applyNumberFormat="1" applyFont="1" applyFill="1" applyBorder="1" applyAlignment="1">
      <alignment horizontal="center" wrapText="1"/>
    </xf>
    <xf numFmtId="2" fontId="93" fillId="35" borderId="61" xfId="59" applyNumberFormat="1" applyFont="1" applyFill="1" applyBorder="1" applyAlignment="1">
      <alignment wrapText="1"/>
    </xf>
    <xf numFmtId="11" fontId="93" fillId="32" borderId="61" xfId="59" applyNumberFormat="1" applyFont="1" applyFill="1" applyBorder="1" applyAlignment="1" applyProtection="1">
      <alignment horizontal="center"/>
      <protection locked="0"/>
    </xf>
    <xf numFmtId="0" fontId="93" fillId="35" borderId="61" xfId="59" applyFont="1" applyFill="1" applyBorder="1"/>
    <xf numFmtId="0" fontId="93" fillId="51" borderId="0" xfId="59" applyFont="1" applyFill="1"/>
    <xf numFmtId="2" fontId="95" fillId="50" borderId="61" xfId="59" applyNumberFormat="1" applyFont="1" applyFill="1" applyBorder="1"/>
    <xf numFmtId="0" fontId="93" fillId="50" borderId="8" xfId="59" applyFont="1" applyFill="1" applyBorder="1"/>
    <xf numFmtId="0" fontId="95" fillId="35" borderId="67" xfId="59" applyFont="1" applyFill="1" applyBorder="1"/>
    <xf numFmtId="2" fontId="93" fillId="50" borderId="61" xfId="61" applyNumberFormat="1" applyFont="1" applyFill="1" applyBorder="1" applyAlignment="1">
      <alignment horizontal="center" wrapText="1"/>
    </xf>
    <xf numFmtId="2" fontId="93" fillId="35" borderId="61" xfId="61" applyNumberFormat="1" applyFont="1" applyFill="1" applyBorder="1" applyAlignment="1">
      <alignment wrapText="1"/>
    </xf>
    <xf numFmtId="11" fontId="93" fillId="32" borderId="61" xfId="61" applyNumberFormat="1" applyFont="1" applyFill="1" applyBorder="1" applyAlignment="1" applyProtection="1">
      <alignment horizontal="center"/>
      <protection locked="0"/>
    </xf>
    <xf numFmtId="0" fontId="93" fillId="35" borderId="61" xfId="61" applyFont="1" applyFill="1" applyBorder="1"/>
    <xf numFmtId="0" fontId="93" fillId="51" borderId="0" xfId="61" applyFont="1" applyFill="1"/>
    <xf numFmtId="2" fontId="95" fillId="50" borderId="61" xfId="61" applyNumberFormat="1" applyFont="1" applyFill="1" applyBorder="1"/>
    <xf numFmtId="0" fontId="93" fillId="50" borderId="8" xfId="61" applyFont="1" applyFill="1" applyBorder="1"/>
    <xf numFmtId="0" fontId="95" fillId="35" borderId="67" xfId="61" applyFont="1" applyFill="1" applyBorder="1"/>
    <xf numFmtId="0" fontId="0" fillId="0" borderId="119" xfId="0" applyBorder="1"/>
    <xf numFmtId="173" fontId="78" fillId="58" borderId="100" xfId="0" applyNumberFormat="1" applyFont="1" applyFill="1" applyBorder="1"/>
    <xf numFmtId="173" fontId="78" fillId="58" borderId="102" xfId="0" applyNumberFormat="1" applyFont="1" applyFill="1" applyBorder="1"/>
    <xf numFmtId="2" fontId="78" fillId="58" borderId="95" xfId="0" applyNumberFormat="1" applyFont="1" applyFill="1" applyBorder="1"/>
    <xf numFmtId="0" fontId="0" fillId="0" borderId="124" xfId="0" applyBorder="1"/>
    <xf numFmtId="0" fontId="78" fillId="58" borderId="98" xfId="0" applyFont="1" applyFill="1" applyBorder="1" applyAlignment="1">
      <alignment horizontal="center" vertical="center" wrapText="1"/>
    </xf>
    <xf numFmtId="0" fontId="56" fillId="58" borderId="99" xfId="0" applyFont="1" applyFill="1" applyBorder="1" applyAlignment="1">
      <alignment horizontal="center" vertical="center" wrapText="1"/>
    </xf>
    <xf numFmtId="0" fontId="75" fillId="55" borderId="101" xfId="0" applyFont="1" applyFill="1" applyBorder="1" applyAlignment="1" applyProtection="1">
      <alignment horizontal="center" vertical="center"/>
      <protection locked="0"/>
    </xf>
    <xf numFmtId="0" fontId="75" fillId="55" borderId="95" xfId="0" applyFont="1" applyFill="1" applyBorder="1" applyAlignment="1" applyProtection="1">
      <alignment horizontal="center" vertical="center"/>
      <protection locked="0"/>
    </xf>
    <xf numFmtId="0" fontId="75" fillId="56" borderId="95" xfId="0" applyFont="1" applyFill="1" applyBorder="1" applyAlignment="1" applyProtection="1">
      <alignment horizontal="center" vertical="center"/>
      <protection locked="0"/>
    </xf>
    <xf numFmtId="49" fontId="0" fillId="56" borderId="95" xfId="0" applyNumberFormat="1" applyFill="1" applyBorder="1"/>
    <xf numFmtId="0" fontId="0" fillId="0" borderId="140" xfId="0" applyBorder="1"/>
    <xf numFmtId="0" fontId="53" fillId="0" borderId="0" xfId="63" applyBorder="1"/>
    <xf numFmtId="0" fontId="0" fillId="0" borderId="142" xfId="0" applyBorder="1"/>
    <xf numFmtId="0" fontId="0" fillId="0" borderId="143" xfId="0" applyBorder="1"/>
    <xf numFmtId="0" fontId="58" fillId="54" borderId="146" xfId="0" applyFont="1" applyFill="1" applyBorder="1"/>
    <xf numFmtId="0" fontId="58" fillId="54" borderId="129" xfId="0" applyFont="1" applyFill="1" applyBorder="1"/>
    <xf numFmtId="0" fontId="58" fillId="54" borderId="130" xfId="0" applyFont="1" applyFill="1" applyBorder="1"/>
    <xf numFmtId="0" fontId="58" fillId="54" borderId="132" xfId="0" applyFont="1" applyFill="1" applyBorder="1"/>
    <xf numFmtId="0" fontId="58" fillId="54" borderId="147" xfId="0" applyFont="1" applyFill="1" applyBorder="1"/>
    <xf numFmtId="0" fontId="58" fillId="54" borderId="149" xfId="0" applyFont="1" applyFill="1" applyBorder="1"/>
    <xf numFmtId="0" fontId="58" fillId="54" borderId="151" xfId="0" applyFont="1" applyFill="1" applyBorder="1"/>
    <xf numFmtId="0" fontId="58" fillId="54" borderId="152" xfId="0" applyFont="1" applyFill="1" applyBorder="1"/>
    <xf numFmtId="0" fontId="58" fillId="54" borderId="154" xfId="0" applyFont="1" applyFill="1" applyBorder="1"/>
    <xf numFmtId="0" fontId="58" fillId="54" borderId="110" xfId="0" applyFont="1" applyFill="1" applyBorder="1"/>
    <xf numFmtId="0" fontId="0" fillId="54" borderId="0" xfId="0" applyFill="1"/>
    <xf numFmtId="3" fontId="0" fillId="0" borderId="0" xfId="0" applyNumberFormat="1" applyAlignment="1">
      <alignment horizontal="center"/>
    </xf>
    <xf numFmtId="0" fontId="0" fillId="0" borderId="0" xfId="0" quotePrefix="1"/>
    <xf numFmtId="0" fontId="11" fillId="48" borderId="0" xfId="0" applyFont="1" applyFill="1"/>
    <xf numFmtId="0" fontId="13" fillId="48" borderId="0" xfId="0" applyFont="1" applyFill="1"/>
    <xf numFmtId="3" fontId="11" fillId="48" borderId="0" xfId="0" applyNumberFormat="1" applyFont="1" applyFill="1" applyAlignment="1">
      <alignment horizontal="center"/>
    </xf>
    <xf numFmtId="3" fontId="0" fillId="48" borderId="0" xfId="0" applyNumberFormat="1" applyFill="1" applyAlignment="1">
      <alignment horizontal="center"/>
    </xf>
    <xf numFmtId="0" fontId="11" fillId="0" borderId="0" xfId="0" applyFont="1"/>
    <xf numFmtId="3" fontId="11" fillId="0" borderId="0" xfId="0" applyNumberFormat="1" applyFont="1" applyAlignment="1">
      <alignment horizontal="center"/>
    </xf>
    <xf numFmtId="3" fontId="11" fillId="0" borderId="0" xfId="0" quotePrefix="1" applyNumberFormat="1" applyFont="1" applyAlignment="1">
      <alignment horizontal="center"/>
    </xf>
    <xf numFmtId="185" fontId="11" fillId="48" borderId="0" xfId="0" applyNumberFormat="1" applyFont="1" applyFill="1" applyAlignment="1">
      <alignment horizontal="center"/>
    </xf>
    <xf numFmtId="185" fontId="11" fillId="0" borderId="0" xfId="0" applyNumberFormat="1" applyFont="1" applyAlignment="1">
      <alignment horizontal="center"/>
    </xf>
    <xf numFmtId="2" fontId="52" fillId="0" borderId="0" xfId="0" applyNumberFormat="1" applyFont="1" applyAlignment="1">
      <alignment vertical="top"/>
    </xf>
    <xf numFmtId="3" fontId="52" fillId="0" borderId="0" xfId="0" applyNumberFormat="1" applyFont="1" applyAlignment="1">
      <alignment horizontal="center" vertical="top"/>
    </xf>
    <xf numFmtId="3" fontId="0" fillId="0" borderId="0" xfId="0" quotePrefix="1" applyNumberFormat="1" applyAlignment="1">
      <alignment horizontal="center"/>
    </xf>
    <xf numFmtId="0" fontId="0" fillId="0" borderId="0" xfId="0" applyAlignment="1">
      <alignment horizontal="left"/>
    </xf>
    <xf numFmtId="0" fontId="52" fillId="0" borderId="0" xfId="0" quotePrefix="1" applyFont="1" applyAlignment="1">
      <alignment vertical="top"/>
    </xf>
    <xf numFmtId="0" fontId="11" fillId="0" borderId="0" xfId="0" quotePrefix="1" applyFont="1" applyAlignment="1">
      <alignment vertical="top"/>
    </xf>
    <xf numFmtId="3" fontId="11" fillId="0" borderId="0" xfId="0" quotePrefix="1" applyNumberFormat="1" applyFont="1" applyAlignment="1">
      <alignment horizontal="center" vertical="top"/>
    </xf>
    <xf numFmtId="0" fontId="25" fillId="0" borderId="0" xfId="0" quotePrefix="1" applyFont="1" applyAlignment="1">
      <alignment vertical="top"/>
    </xf>
    <xf numFmtId="0" fontId="25" fillId="0" borderId="0" xfId="0" applyFont="1" applyAlignment="1">
      <alignment vertical="top"/>
    </xf>
    <xf numFmtId="3" fontId="25" fillId="0" borderId="0" xfId="0" applyNumberFormat="1" applyFont="1" applyAlignment="1">
      <alignment horizontal="center" vertical="top"/>
    </xf>
    <xf numFmtId="0" fontId="0" fillId="0" borderId="66" xfId="0" applyBorder="1" applyAlignment="1">
      <alignment horizontal="left"/>
    </xf>
    <xf numFmtId="0" fontId="11" fillId="0" borderId="66" xfId="0" applyFont="1" applyBorder="1" applyAlignment="1">
      <alignment horizontal="left"/>
    </xf>
    <xf numFmtId="0" fontId="11" fillId="0" borderId="50" xfId="0" applyFont="1" applyBorder="1" applyAlignment="1">
      <alignment horizontal="left"/>
    </xf>
    <xf numFmtId="0" fontId="6" fillId="63" borderId="0" xfId="0" applyFont="1" applyFill="1"/>
    <xf numFmtId="3" fontId="6" fillId="63" borderId="0" xfId="0" applyNumberFormat="1" applyFont="1" applyFill="1" applyAlignment="1">
      <alignment horizontal="center"/>
    </xf>
    <xf numFmtId="0" fontId="0" fillId="64" borderId="0" xfId="0" applyFill="1"/>
    <xf numFmtId="0" fontId="0" fillId="64" borderId="0" xfId="0" quotePrefix="1" applyFill="1"/>
    <xf numFmtId="3" fontId="0" fillId="64" borderId="0" xfId="0" applyNumberFormat="1" applyFill="1" applyAlignment="1">
      <alignment horizontal="center"/>
    </xf>
    <xf numFmtId="0" fontId="6" fillId="63" borderId="155" xfId="0" applyFont="1" applyFill="1" applyBorder="1"/>
    <xf numFmtId="0" fontId="6" fillId="63" borderId="156" xfId="0" applyFont="1" applyFill="1" applyBorder="1"/>
    <xf numFmtId="3" fontId="6" fillId="63" borderId="156" xfId="0" applyNumberFormat="1" applyFont="1" applyFill="1" applyBorder="1" applyAlignment="1">
      <alignment horizontal="center"/>
    </xf>
    <xf numFmtId="3" fontId="6" fillId="63" borderId="157" xfId="0" applyNumberFormat="1" applyFont="1" applyFill="1" applyBorder="1" applyAlignment="1">
      <alignment horizontal="center"/>
    </xf>
    <xf numFmtId="0" fontId="0" fillId="0" borderId="112" xfId="0" applyBorder="1"/>
    <xf numFmtId="3" fontId="0" fillId="0" borderId="112" xfId="0" applyNumberFormat="1" applyBorder="1" applyAlignment="1">
      <alignment horizontal="center"/>
    </xf>
    <xf numFmtId="0" fontId="52" fillId="0" borderId="112" xfId="0" quotePrefix="1" applyFont="1" applyBorder="1" applyAlignment="1">
      <alignment vertical="top"/>
    </xf>
    <xf numFmtId="0" fontId="52" fillId="0" borderId="159" xfId="0" quotePrefix="1" applyFont="1" applyBorder="1" applyAlignment="1">
      <alignment vertical="top"/>
    </xf>
    <xf numFmtId="0" fontId="0" fillId="0" borderId="158" xfId="0" applyBorder="1"/>
    <xf numFmtId="3" fontId="0" fillId="0" borderId="158" xfId="0" applyNumberFormat="1" applyBorder="1" applyAlignment="1">
      <alignment horizontal="center"/>
    </xf>
    <xf numFmtId="0" fontId="52" fillId="0" borderId="158" xfId="0" quotePrefix="1" applyFont="1" applyBorder="1" applyAlignment="1">
      <alignment vertical="top"/>
    </xf>
    <xf numFmtId="0" fontId="0" fillId="0" borderId="159" xfId="0" applyBorder="1" applyAlignment="1">
      <alignment horizontal="center"/>
    </xf>
    <xf numFmtId="3" fontId="0" fillId="0" borderId="159" xfId="125" applyNumberFormat="1" applyFont="1" applyFill="1" applyBorder="1" applyAlignment="1">
      <alignment horizontal="center"/>
    </xf>
    <xf numFmtId="3" fontId="0" fillId="0" borderId="159" xfId="125" applyNumberFormat="1" applyFont="1" applyFill="1" applyBorder="1" applyAlignment="1">
      <alignment horizontal="center" wrapText="1"/>
    </xf>
    <xf numFmtId="3" fontId="0" fillId="0" borderId="159" xfId="0" applyNumberFormat="1" applyBorder="1" applyAlignment="1">
      <alignment horizontal="center"/>
    </xf>
    <xf numFmtId="0" fontId="0" fillId="0" borderId="159" xfId="0" applyBorder="1"/>
    <xf numFmtId="0" fontId="54" fillId="0" borderId="0" xfId="0" applyFont="1" applyProtection="1">
      <protection locked="0"/>
    </xf>
    <xf numFmtId="2" fontId="90" fillId="54" borderId="95" xfId="0" applyNumberFormat="1" applyFont="1" applyFill="1" applyBorder="1"/>
    <xf numFmtId="0" fontId="61" fillId="58" borderId="95" xfId="0" applyFont="1" applyFill="1" applyBorder="1" applyAlignment="1">
      <alignment horizontal="right"/>
    </xf>
    <xf numFmtId="0" fontId="61" fillId="58" borderId="95" xfId="0" applyFont="1" applyFill="1" applyBorder="1"/>
    <xf numFmtId="0" fontId="90" fillId="54" borderId="95" xfId="0" applyFont="1" applyFill="1" applyBorder="1"/>
    <xf numFmtId="2" fontId="61" fillId="58" borderId="95" xfId="0" applyNumberFormat="1" applyFont="1" applyFill="1" applyBorder="1"/>
    <xf numFmtId="0" fontId="90" fillId="54" borderId="95" xfId="0" applyFont="1" applyFill="1" applyBorder="1" applyAlignment="1">
      <alignment vertical="center" wrapText="1"/>
    </xf>
    <xf numFmtId="0" fontId="61" fillId="54" borderId="95" xfId="0" applyFont="1" applyFill="1" applyBorder="1"/>
    <xf numFmtId="0" fontId="80" fillId="56" borderId="99" xfId="47" applyFont="1" applyFill="1" applyBorder="1" applyAlignment="1">
      <alignment horizontal="center" vertical="center"/>
    </xf>
    <xf numFmtId="0" fontId="65" fillId="56" borderId="99" xfId="0" applyFont="1" applyFill="1" applyBorder="1" applyAlignment="1">
      <alignment horizontal="center" vertical="center"/>
    </xf>
    <xf numFmtId="0" fontId="65" fillId="56" borderId="110" xfId="0" applyFont="1" applyFill="1" applyBorder="1" applyAlignment="1">
      <alignment horizontal="center" vertical="center"/>
    </xf>
    <xf numFmtId="0" fontId="80" fillId="55" borderId="98" xfId="47" applyFont="1" applyFill="1" applyBorder="1" applyAlignment="1" applyProtection="1">
      <alignment horizontal="center" vertical="center"/>
      <protection locked="0" hidden="1"/>
    </xf>
    <xf numFmtId="0" fontId="65" fillId="55" borderId="99" xfId="0" applyFont="1" applyFill="1" applyBorder="1" applyAlignment="1" applyProtection="1">
      <alignment horizontal="center" vertical="center"/>
      <protection locked="0"/>
    </xf>
    <xf numFmtId="0" fontId="80" fillId="55" borderId="101" xfId="47" applyFont="1" applyFill="1" applyBorder="1" applyAlignment="1" applyProtection="1">
      <alignment horizontal="center" vertical="center"/>
      <protection locked="0" hidden="1"/>
    </xf>
    <xf numFmtId="0" fontId="65" fillId="56" borderId="95" xfId="0" applyFont="1" applyFill="1" applyBorder="1" applyAlignment="1" applyProtection="1">
      <alignment horizontal="center" vertical="center"/>
      <protection locked="0"/>
    </xf>
    <xf numFmtId="0" fontId="65" fillId="55" borderId="95" xfId="0" applyFont="1" applyFill="1" applyBorder="1" applyAlignment="1" applyProtection="1">
      <alignment horizontal="center" vertical="center"/>
      <protection locked="0"/>
    </xf>
    <xf numFmtId="0" fontId="83" fillId="55" borderId="101" xfId="47" applyFont="1" applyFill="1" applyBorder="1" applyAlignment="1" applyProtection="1">
      <alignment horizontal="center" vertical="center"/>
      <protection locked="0" hidden="1"/>
    </xf>
    <xf numFmtId="0" fontId="80" fillId="55" borderId="103" xfId="47" applyFont="1" applyFill="1" applyBorder="1" applyAlignment="1" applyProtection="1">
      <alignment horizontal="center" vertical="center"/>
      <protection locked="0" hidden="1"/>
    </xf>
    <xf numFmtId="0" fontId="65" fillId="56" borderId="104" xfId="0" applyFont="1" applyFill="1" applyBorder="1" applyAlignment="1" applyProtection="1">
      <alignment horizontal="center" vertical="center"/>
      <protection locked="0"/>
    </xf>
    <xf numFmtId="0" fontId="65" fillId="55" borderId="104" xfId="0" applyFont="1" applyFill="1" applyBorder="1" applyAlignment="1" applyProtection="1">
      <alignment horizontal="center" vertical="center"/>
      <protection locked="0"/>
    </xf>
    <xf numFmtId="2" fontId="58" fillId="54" borderId="95" xfId="0" applyNumberFormat="1" applyFont="1" applyFill="1" applyBorder="1"/>
    <xf numFmtId="2" fontId="58" fillId="54" borderId="116" xfId="0" applyNumberFormat="1" applyFont="1" applyFill="1" applyBorder="1"/>
    <xf numFmtId="2" fontId="58" fillId="54" borderId="99" xfId="0" applyNumberFormat="1" applyFont="1" applyFill="1" applyBorder="1"/>
    <xf numFmtId="2" fontId="58" fillId="54" borderId="110" xfId="0" applyNumberFormat="1" applyFont="1" applyFill="1" applyBorder="1"/>
    <xf numFmtId="0" fontId="86" fillId="54" borderId="95" xfId="0" applyFont="1" applyFill="1" applyBorder="1"/>
    <xf numFmtId="2" fontId="58" fillId="54" borderId="133" xfId="0" applyNumberFormat="1" applyFont="1" applyFill="1" applyBorder="1"/>
    <xf numFmtId="2" fontId="58" fillId="54" borderId="150" xfId="0" applyNumberFormat="1" applyFont="1" applyFill="1" applyBorder="1"/>
    <xf numFmtId="2" fontId="58" fillId="54" borderId="148" xfId="0" applyNumberFormat="1" applyFont="1" applyFill="1" applyBorder="1"/>
    <xf numFmtId="2" fontId="58" fillId="54" borderId="153" xfId="0" applyNumberFormat="1" applyFont="1" applyFill="1" applyBorder="1"/>
    <xf numFmtId="2" fontId="58" fillId="54" borderId="130" xfId="0" applyNumberFormat="1" applyFont="1" applyFill="1" applyBorder="1"/>
    <xf numFmtId="2" fontId="58" fillId="54" borderId="131" xfId="0" applyNumberFormat="1" applyFont="1" applyFill="1" applyBorder="1"/>
    <xf numFmtId="2" fontId="58" fillId="54" borderId="152" xfId="0" applyNumberFormat="1" applyFont="1" applyFill="1" applyBorder="1"/>
    <xf numFmtId="0" fontId="99" fillId="54" borderId="95" xfId="0" applyFont="1" applyFill="1" applyBorder="1"/>
    <xf numFmtId="2" fontId="99" fillId="54" borderId="95" xfId="0" applyNumberFormat="1" applyFont="1" applyFill="1" applyBorder="1"/>
    <xf numFmtId="0" fontId="0" fillId="0" borderId="86" xfId="0" applyBorder="1"/>
    <xf numFmtId="0" fontId="0" fillId="0" borderId="86" xfId="0" applyBorder="1" applyAlignment="1">
      <alignment vertical="top"/>
    </xf>
    <xf numFmtId="0" fontId="0" fillId="58" borderId="85" xfId="0" applyFill="1" applyBorder="1" applyAlignment="1">
      <alignment horizontal="left" indent="2"/>
    </xf>
    <xf numFmtId="0" fontId="65" fillId="45" borderId="0" xfId="0" applyFont="1" applyFill="1" applyAlignment="1">
      <alignment horizontal="left" indent="2"/>
    </xf>
    <xf numFmtId="0" fontId="10" fillId="31" borderId="61" xfId="30" applyFont="1" applyFill="1" applyBorder="1" applyAlignment="1">
      <alignment horizontal="center" vertical="center"/>
    </xf>
    <xf numFmtId="0" fontId="10" fillId="32" borderId="62" xfId="30" applyFont="1" applyFill="1" applyBorder="1" applyAlignment="1">
      <alignment vertical="center"/>
    </xf>
    <xf numFmtId="0" fontId="10" fillId="32" borderId="63" xfId="30" applyFont="1" applyFill="1" applyBorder="1" applyAlignment="1">
      <alignment vertical="center"/>
    </xf>
    <xf numFmtId="0" fontId="11" fillId="32" borderId="63" xfId="30" applyFont="1" applyFill="1" applyBorder="1" applyAlignment="1">
      <alignment vertical="center"/>
    </xf>
    <xf numFmtId="0" fontId="11" fillId="32" borderId="64" xfId="30" applyFont="1" applyFill="1" applyBorder="1" applyAlignment="1">
      <alignment vertical="center"/>
    </xf>
    <xf numFmtId="0" fontId="16" fillId="36" borderId="61" xfId="30" applyFont="1" applyFill="1" applyBorder="1" applyAlignment="1">
      <alignment horizontal="center" vertical="top" wrapText="1"/>
    </xf>
    <xf numFmtId="0" fontId="13" fillId="34" borderId="57" xfId="30" applyFont="1" applyFill="1" applyBorder="1" applyAlignment="1">
      <alignment horizontal="center"/>
    </xf>
    <xf numFmtId="164" fontId="11" fillId="0" borderId="61" xfId="31" applyFont="1" applyBorder="1" applyAlignment="1">
      <alignment vertical="center"/>
    </xf>
    <xf numFmtId="164" fontId="11" fillId="0" borderId="61" xfId="31" applyFont="1" applyBorder="1"/>
    <xf numFmtId="167" fontId="11" fillId="0" borderId="61" xfId="31" applyNumberFormat="1" applyFont="1" applyBorder="1"/>
    <xf numFmtId="168" fontId="11" fillId="0" borderId="61" xfId="31" applyNumberFormat="1" applyFont="1" applyBorder="1"/>
    <xf numFmtId="172" fontId="11" fillId="0" borderId="61" xfId="31" applyNumberFormat="1" applyFont="1" applyBorder="1" applyAlignment="1">
      <alignment vertical="center"/>
    </xf>
    <xf numFmtId="164" fontId="19" fillId="0" borderId="61" xfId="31" applyFont="1" applyBorder="1"/>
    <xf numFmtId="0" fontId="10" fillId="40" borderId="62" xfId="30" applyFont="1" applyFill="1" applyBorder="1"/>
    <xf numFmtId="0" fontId="11" fillId="40" borderId="63" xfId="30" applyFont="1" applyFill="1" applyBorder="1"/>
    <xf numFmtId="0" fontId="16" fillId="36" borderId="61" xfId="30" applyFont="1" applyFill="1" applyBorder="1" applyAlignment="1">
      <alignment horizontal="center" vertical="center" wrapText="1"/>
    </xf>
    <xf numFmtId="0" fontId="13" fillId="34" borderId="57" xfId="30" applyFont="1" applyFill="1" applyBorder="1" applyAlignment="1">
      <alignment horizontal="center" vertical="center" wrapText="1"/>
    </xf>
    <xf numFmtId="171" fontId="11" fillId="0" borderId="61" xfId="31" applyNumberFormat="1" applyFont="1" applyBorder="1"/>
    <xf numFmtId="164" fontId="11" fillId="37" borderId="61" xfId="31" applyFont="1" applyFill="1" applyBorder="1"/>
    <xf numFmtId="168" fontId="11" fillId="37" borderId="61" xfId="31" applyNumberFormat="1" applyFont="1" applyFill="1" applyBorder="1"/>
    <xf numFmtId="172" fontId="11" fillId="0" borderId="61" xfId="31" applyNumberFormat="1" applyFont="1" applyBorder="1"/>
    <xf numFmtId="169" fontId="11" fillId="0" borderId="61" xfId="31" applyNumberFormat="1" applyFont="1" applyBorder="1"/>
    <xf numFmtId="164" fontId="11" fillId="0" borderId="61" xfId="31" applyFont="1" applyBorder="1" applyAlignment="1">
      <alignment horizontal="center"/>
    </xf>
    <xf numFmtId="0" fontId="11" fillId="33" borderId="61" xfId="30" applyFont="1" applyFill="1" applyBorder="1" applyAlignment="1">
      <alignment horizontal="left"/>
    </xf>
    <xf numFmtId="181" fontId="11" fillId="0" borderId="61" xfId="31" applyNumberFormat="1" applyFont="1" applyBorder="1"/>
    <xf numFmtId="168" fontId="19" fillId="0" borderId="61" xfId="31" applyNumberFormat="1" applyFont="1" applyBorder="1"/>
    <xf numFmtId="171" fontId="11" fillId="0" borderId="61" xfId="31" applyNumberFormat="1" applyFont="1" applyBorder="1" applyAlignment="1">
      <alignment vertical="center"/>
    </xf>
    <xf numFmtId="164" fontId="11" fillId="37" borderId="61" xfId="31" applyFont="1" applyFill="1" applyBorder="1" applyAlignment="1">
      <alignment vertical="center"/>
    </xf>
    <xf numFmtId="168" fontId="11" fillId="37" borderId="61" xfId="31" applyNumberFormat="1" applyFont="1" applyFill="1" applyBorder="1" applyAlignment="1">
      <alignment vertical="center"/>
    </xf>
    <xf numFmtId="181" fontId="19" fillId="0" borderId="61" xfId="31" applyNumberFormat="1" applyFont="1" applyBorder="1"/>
    <xf numFmtId="164" fontId="13" fillId="34" borderId="57" xfId="30" applyNumberFormat="1" applyFont="1" applyFill="1" applyBorder="1" applyAlignment="1">
      <alignment horizontal="center" vertical="center"/>
    </xf>
    <xf numFmtId="164" fontId="13" fillId="34" borderId="57" xfId="30" applyNumberFormat="1" applyFont="1" applyFill="1" applyBorder="1" applyAlignment="1">
      <alignment horizontal="center" vertical="center" wrapText="1"/>
    </xf>
    <xf numFmtId="181" fontId="11" fillId="0" borderId="61" xfId="31" applyNumberFormat="1" applyFont="1" applyBorder="1" applyAlignment="1">
      <alignment horizontal="right"/>
    </xf>
    <xf numFmtId="0" fontId="11" fillId="35" borderId="61" xfId="30" applyFont="1" applyFill="1" applyBorder="1"/>
    <xf numFmtId="169" fontId="11" fillId="0" borderId="61" xfId="31" applyNumberFormat="1" applyFont="1" applyBorder="1" applyAlignment="1">
      <alignment horizontal="right"/>
    </xf>
    <xf numFmtId="0" fontId="13" fillId="32" borderId="63" xfId="30" applyFont="1" applyFill="1" applyBorder="1"/>
    <xf numFmtId="182" fontId="11" fillId="0" borderId="61" xfId="31" applyNumberFormat="1" applyFont="1" applyBorder="1"/>
    <xf numFmtId="169" fontId="19" fillId="0" borderId="61" xfId="31" applyNumberFormat="1" applyFont="1" applyBorder="1"/>
    <xf numFmtId="169" fontId="19" fillId="0" borderId="65" xfId="31" applyNumberFormat="1" applyFont="1" applyBorder="1"/>
    <xf numFmtId="181" fontId="19" fillId="0" borderId="65" xfId="31" applyNumberFormat="1" applyFont="1" applyBorder="1"/>
    <xf numFmtId="181" fontId="19" fillId="0" borderId="64" xfId="31" applyNumberFormat="1" applyFont="1" applyBorder="1"/>
    <xf numFmtId="0" fontId="10" fillId="32" borderId="63" xfId="30" applyFont="1" applyFill="1" applyBorder="1"/>
    <xf numFmtId="0" fontId="6" fillId="58" borderId="104" xfId="47" applyFont="1" applyFill="1" applyBorder="1" applyAlignment="1">
      <alignment horizontal="center" vertical="center" wrapText="1"/>
    </xf>
    <xf numFmtId="0" fontId="20" fillId="45" borderId="0" xfId="30" applyFont="1" applyFill="1" applyAlignment="1">
      <alignment horizontal="left" vertical="top" wrapText="1"/>
    </xf>
    <xf numFmtId="0" fontId="58" fillId="0" borderId="122" xfId="0" applyFont="1" applyBorder="1" applyAlignment="1">
      <alignment horizontal="left" wrapText="1"/>
    </xf>
    <xf numFmtId="0" fontId="58" fillId="0" borderId="123" xfId="0" applyFont="1" applyBorder="1" applyAlignment="1">
      <alignment horizontal="left" wrapText="1"/>
    </xf>
    <xf numFmtId="0" fontId="78" fillId="58" borderId="104" xfId="47" applyFont="1" applyFill="1" applyBorder="1" applyAlignment="1">
      <alignment horizontal="center" vertical="center"/>
    </xf>
    <xf numFmtId="0" fontId="78" fillId="58" borderId="104" xfId="47" applyFont="1" applyFill="1" applyBorder="1" applyAlignment="1">
      <alignment horizontal="center" vertical="center" wrapText="1"/>
    </xf>
    <xf numFmtId="2" fontId="45" fillId="58" borderId="95" xfId="61" applyNumberFormat="1" applyFont="1" applyFill="1" applyBorder="1" applyAlignment="1">
      <alignment horizontal="center" wrapText="1"/>
    </xf>
    <xf numFmtId="178" fontId="34" fillId="0" borderId="22" xfId="33" applyNumberFormat="1" applyFont="1" applyBorder="1" applyAlignment="1">
      <alignment horizontal="center"/>
    </xf>
    <xf numFmtId="14" fontId="0" fillId="56" borderId="95" xfId="0" applyNumberFormat="1" applyFill="1" applyBorder="1"/>
    <xf numFmtId="0" fontId="0" fillId="0" borderId="0" xfId="0" applyAlignment="1">
      <alignment horizontal="center" vertical="center" wrapText="1"/>
    </xf>
    <xf numFmtId="0" fontId="65" fillId="0" borderId="0" xfId="0" applyFont="1" applyAlignment="1">
      <alignment horizontal="left" vertical="center" wrapText="1"/>
    </xf>
    <xf numFmtId="0" fontId="84" fillId="58" borderId="85" xfId="0" applyFont="1" applyFill="1" applyBorder="1" applyAlignment="1">
      <alignment horizontal="left" wrapText="1"/>
    </xf>
    <xf numFmtId="0" fontId="84" fillId="58" borderId="0" xfId="0" applyFont="1" applyFill="1" applyAlignment="1">
      <alignment horizontal="left" wrapText="1"/>
    </xf>
    <xf numFmtId="0" fontId="56" fillId="58" borderId="61" xfId="0" applyFont="1" applyFill="1" applyBorder="1" applyAlignment="1">
      <alignment horizontal="left" vertical="center" wrapText="1"/>
    </xf>
    <xf numFmtId="0" fontId="75" fillId="0" borderId="61" xfId="0" applyFont="1" applyBorder="1" applyAlignment="1">
      <alignment horizontal="left" vertical="top" wrapText="1"/>
    </xf>
    <xf numFmtId="0" fontId="77" fillId="45" borderId="85" xfId="63" applyFont="1" applyFill="1" applyBorder="1" applyAlignment="1">
      <alignment horizontal="left" vertical="top"/>
    </xf>
    <xf numFmtId="0" fontId="77" fillId="45" borderId="0" xfId="63" applyFont="1" applyFill="1" applyBorder="1" applyAlignment="1">
      <alignment horizontal="left" vertical="top"/>
    </xf>
    <xf numFmtId="0" fontId="77" fillId="45" borderId="86" xfId="63" applyFont="1" applyFill="1" applyBorder="1" applyAlignment="1">
      <alignment horizontal="left" vertical="top"/>
    </xf>
    <xf numFmtId="0" fontId="52" fillId="0" borderId="85" xfId="0" applyFont="1" applyBorder="1" applyAlignment="1">
      <alignment horizontal="left" vertical="top"/>
    </xf>
    <xf numFmtId="0" fontId="52" fillId="0" borderId="0" xfId="0" applyFont="1" applyAlignment="1">
      <alignment horizontal="left" vertical="top"/>
    </xf>
    <xf numFmtId="0" fontId="52" fillId="0" borderId="86" xfId="0" applyFont="1" applyBorder="1" applyAlignment="1">
      <alignment horizontal="left" vertical="top"/>
    </xf>
    <xf numFmtId="0" fontId="60" fillId="45" borderId="85" xfId="0" applyFont="1" applyFill="1" applyBorder="1" applyAlignment="1">
      <alignment horizontal="left" vertical="top"/>
    </xf>
    <xf numFmtId="0" fontId="60" fillId="45" borderId="0" xfId="0" applyFont="1" applyFill="1" applyAlignment="1">
      <alignment horizontal="left" vertical="top"/>
    </xf>
    <xf numFmtId="0" fontId="60" fillId="45" borderId="86" xfId="0" applyFont="1" applyFill="1" applyBorder="1" applyAlignment="1">
      <alignment horizontal="left" vertical="top"/>
    </xf>
    <xf numFmtId="0" fontId="65" fillId="45" borderId="85" xfId="0" applyFont="1" applyFill="1" applyBorder="1" applyAlignment="1">
      <alignment horizontal="left" wrapText="1"/>
    </xf>
    <xf numFmtId="0" fontId="65" fillId="45" borderId="0" xfId="0" applyFont="1" applyFill="1" applyAlignment="1">
      <alignment horizontal="left" wrapText="1"/>
    </xf>
    <xf numFmtId="0" fontId="65" fillId="45" borderId="86" xfId="0" applyFont="1" applyFill="1" applyBorder="1" applyAlignment="1">
      <alignment horizontal="left" wrapText="1"/>
    </xf>
    <xf numFmtId="0" fontId="0" fillId="0" borderId="0" xfId="0" applyAlignment="1">
      <alignment horizontal="left" wrapText="1"/>
    </xf>
    <xf numFmtId="0" fontId="0" fillId="0" borderId="85" xfId="0" applyBorder="1" applyAlignment="1">
      <alignment horizontal="left" vertical="top" wrapText="1"/>
    </xf>
    <xf numFmtId="0" fontId="0" fillId="0" borderId="0" xfId="0" applyAlignment="1">
      <alignment horizontal="left" vertical="top" wrapText="1"/>
    </xf>
    <xf numFmtId="0" fontId="0" fillId="0" borderId="0" xfId="0" applyAlignment="1">
      <alignment horizontal="left" vertical="top"/>
    </xf>
    <xf numFmtId="0" fontId="6" fillId="58" borderId="95" xfId="47" applyFont="1" applyFill="1" applyBorder="1" applyAlignment="1">
      <alignment horizontal="center" vertical="center" wrapText="1"/>
    </xf>
    <xf numFmtId="0" fontId="6" fillId="58" borderId="104" xfId="47" applyFont="1" applyFill="1" applyBorder="1" applyAlignment="1">
      <alignment horizontal="center" vertical="center" wrapText="1"/>
    </xf>
    <xf numFmtId="0" fontId="7" fillId="0" borderId="0" xfId="0" applyFont="1" applyAlignment="1">
      <alignment horizontal="left" wrapText="1"/>
    </xf>
    <xf numFmtId="0" fontId="7" fillId="0" borderId="140" xfId="0" applyFont="1" applyBorder="1" applyAlignment="1">
      <alignment horizontal="left" wrapText="1"/>
    </xf>
    <xf numFmtId="0" fontId="52" fillId="45" borderId="0" xfId="121" applyFont="1" applyFill="1" applyAlignment="1">
      <alignment horizontal="left" vertical="top" wrapText="1"/>
    </xf>
    <xf numFmtId="0" fontId="52" fillId="45" borderId="140" xfId="121" applyFont="1" applyFill="1" applyBorder="1" applyAlignment="1">
      <alignment horizontal="left" vertical="top" wrapText="1"/>
    </xf>
    <xf numFmtId="0" fontId="0" fillId="0" borderId="136" xfId="0" applyBorder="1" applyAlignment="1">
      <alignment horizontal="left" wrapText="1"/>
    </xf>
    <xf numFmtId="0" fontId="0" fillId="0" borderId="137" xfId="0" applyBorder="1" applyAlignment="1">
      <alignment horizontal="left" wrapText="1"/>
    </xf>
    <xf numFmtId="0" fontId="0" fillId="0" borderId="138" xfId="0" applyBorder="1" applyAlignment="1">
      <alignment horizontal="left" wrapText="1"/>
    </xf>
    <xf numFmtId="0" fontId="0" fillId="0" borderId="141" xfId="0" applyBorder="1" applyAlignment="1">
      <alignment horizontal="left" wrapText="1"/>
    </xf>
    <xf numFmtId="0" fontId="0" fillId="0" borderId="142" xfId="0" applyBorder="1" applyAlignment="1">
      <alignment horizontal="left" wrapText="1"/>
    </xf>
    <xf numFmtId="0" fontId="0" fillId="0" borderId="143" xfId="0" applyBorder="1" applyAlignment="1">
      <alignment horizontal="left" wrapText="1"/>
    </xf>
    <xf numFmtId="0" fontId="7" fillId="0" borderId="0" xfId="0" applyFont="1" applyAlignment="1">
      <alignment horizontal="left" vertical="top" wrapText="1"/>
    </xf>
    <xf numFmtId="0" fontId="7" fillId="0" borderId="140" xfId="0" applyFont="1" applyBorder="1" applyAlignment="1">
      <alignment horizontal="left" vertical="top" wrapText="1"/>
    </xf>
    <xf numFmtId="0" fontId="7" fillId="0" borderId="142" xfId="0" applyFont="1" applyBorder="1" applyAlignment="1">
      <alignment horizontal="left" vertical="top" wrapText="1"/>
    </xf>
    <xf numFmtId="0" fontId="7" fillId="0" borderId="143" xfId="0" applyFont="1" applyBorder="1" applyAlignment="1">
      <alignment horizontal="left" vertical="top" wrapText="1"/>
    </xf>
    <xf numFmtId="0" fontId="6" fillId="58" borderId="95" xfId="0" applyFont="1" applyFill="1" applyBorder="1" applyAlignment="1">
      <alignment horizontal="center" vertical="center"/>
    </xf>
    <xf numFmtId="0" fontId="6" fillId="58" borderId="102" xfId="47" applyFont="1" applyFill="1" applyBorder="1" applyAlignment="1">
      <alignment horizontal="center" vertical="center" wrapText="1"/>
    </xf>
    <xf numFmtId="0" fontId="6" fillId="58" borderId="109" xfId="47" applyFont="1" applyFill="1" applyBorder="1" applyAlignment="1">
      <alignment horizontal="center" vertical="center" wrapText="1"/>
    </xf>
    <xf numFmtId="0" fontId="6" fillId="58" borderId="101" xfId="47" applyFont="1" applyFill="1" applyBorder="1" applyAlignment="1">
      <alignment horizontal="center" vertical="center" wrapText="1"/>
    </xf>
    <xf numFmtId="0" fontId="0" fillId="56" borderId="95" xfId="0" applyFill="1" applyBorder="1" applyAlignment="1">
      <alignment horizontal="center"/>
    </xf>
    <xf numFmtId="0" fontId="6" fillId="58" borderId="99" xfId="0" applyFont="1" applyFill="1" applyBorder="1" applyAlignment="1">
      <alignment horizontal="left"/>
    </xf>
    <xf numFmtId="0" fontId="51" fillId="0" borderId="0" xfId="0" applyFont="1" applyAlignment="1">
      <alignment horizontal="left" wrapText="1"/>
    </xf>
    <xf numFmtId="0" fontId="51" fillId="0" borderId="140" xfId="0" applyFont="1" applyBorder="1" applyAlignment="1">
      <alignment horizontal="left" wrapText="1"/>
    </xf>
    <xf numFmtId="0" fontId="11" fillId="33" borderId="62" xfId="30" applyFont="1" applyFill="1" applyBorder="1" applyAlignment="1">
      <alignment horizontal="left"/>
    </xf>
    <xf numFmtId="0" fontId="11" fillId="33" borderId="63" xfId="30" applyFont="1" applyFill="1" applyBorder="1" applyAlignment="1">
      <alignment horizontal="left"/>
    </xf>
    <xf numFmtId="0" fontId="11" fillId="33" borderId="80" xfId="30" applyFont="1" applyFill="1" applyBorder="1" applyAlignment="1">
      <alignment horizontal="left"/>
    </xf>
    <xf numFmtId="0" fontId="11" fillId="33" borderId="69" xfId="30" applyFont="1" applyFill="1" applyBorder="1" applyAlignment="1">
      <alignment horizontal="left"/>
    </xf>
    <xf numFmtId="0" fontId="11" fillId="33" borderId="82" xfId="30" applyFont="1" applyFill="1" applyBorder="1" applyAlignment="1">
      <alignment horizontal="left"/>
    </xf>
    <xf numFmtId="0" fontId="11" fillId="33" borderId="70" xfId="30" applyFont="1" applyFill="1" applyBorder="1" applyAlignment="1">
      <alignment horizontal="left"/>
    </xf>
    <xf numFmtId="0" fontId="20" fillId="45" borderId="0" xfId="30" applyFont="1" applyFill="1" applyAlignment="1">
      <alignment horizontal="left" vertical="top" wrapText="1"/>
    </xf>
    <xf numFmtId="0" fontId="0" fillId="0" borderId="0" xfId="0"/>
    <xf numFmtId="0" fontId="11" fillId="45" borderId="62" xfId="30" applyFont="1" applyFill="1" applyBorder="1" applyAlignment="1">
      <alignment horizontal="left"/>
    </xf>
    <xf numFmtId="0" fontId="11" fillId="45" borderId="63" xfId="30" applyFont="1" applyFill="1" applyBorder="1" applyAlignment="1">
      <alignment horizontal="left"/>
    </xf>
    <xf numFmtId="0" fontId="11" fillId="45" borderId="80" xfId="30" applyFont="1" applyFill="1" applyBorder="1" applyAlignment="1">
      <alignment horizontal="left"/>
    </xf>
    <xf numFmtId="0" fontId="13" fillId="35" borderId="75" xfId="30" applyFont="1" applyFill="1" applyBorder="1" applyAlignment="1">
      <alignment horizontal="center" vertical="top" wrapText="1"/>
    </xf>
    <xf numFmtId="0" fontId="13" fillId="35" borderId="71" xfId="30" applyFont="1" applyFill="1" applyBorder="1" applyAlignment="1">
      <alignment horizontal="center" vertical="top" wrapText="1"/>
    </xf>
    <xf numFmtId="0" fontId="13" fillId="35" borderId="72" xfId="30" applyFont="1" applyFill="1" applyBorder="1" applyAlignment="1">
      <alignment horizontal="center" vertical="top" wrapText="1"/>
    </xf>
    <xf numFmtId="0" fontId="11" fillId="33" borderId="77" xfId="30" applyFont="1" applyFill="1" applyBorder="1" applyAlignment="1">
      <alignment horizontal="left"/>
    </xf>
    <xf numFmtId="0" fontId="11" fillId="33" borderId="78" xfId="30" applyFont="1" applyFill="1" applyBorder="1" applyAlignment="1">
      <alignment horizontal="left"/>
    </xf>
    <xf numFmtId="0" fontId="11" fillId="33" borderId="79" xfId="30" applyFont="1" applyFill="1" applyBorder="1" applyAlignment="1">
      <alignment horizontal="left"/>
    </xf>
    <xf numFmtId="0" fontId="48" fillId="33" borderId="0" xfId="30" applyFont="1" applyFill="1" applyAlignment="1">
      <alignment horizontal="left" wrapText="1"/>
    </xf>
    <xf numFmtId="0" fontId="11" fillId="0" borderId="0" xfId="30" applyFont="1" applyAlignment="1">
      <alignment vertical="top"/>
    </xf>
    <xf numFmtId="0" fontId="34" fillId="46" borderId="22" xfId="97" applyFont="1" applyFill="1" applyBorder="1" applyAlignment="1">
      <alignment vertical="center" wrapText="1"/>
    </xf>
    <xf numFmtId="0" fontId="34" fillId="0" borderId="22" xfId="96" applyFont="1" applyBorder="1" applyAlignment="1">
      <alignment horizontal="center"/>
    </xf>
    <xf numFmtId="0" fontId="34" fillId="45" borderId="22" xfId="81" applyFont="1" applyFill="1" applyBorder="1" applyAlignment="1">
      <alignment horizontal="center"/>
    </xf>
    <xf numFmtId="0" fontId="34" fillId="0" borderId="22" xfId="81" applyFont="1" applyBorder="1" applyAlignment="1">
      <alignment horizontal="center"/>
    </xf>
    <xf numFmtId="0" fontId="34" fillId="46" borderId="22" xfId="85" applyFont="1" applyFill="1" applyBorder="1" applyAlignment="1">
      <alignment vertical="center" wrapText="1"/>
    </xf>
    <xf numFmtId="0" fontId="34" fillId="0" borderId="22" xfId="87" applyFont="1" applyBorder="1" applyAlignment="1">
      <alignment horizontal="center"/>
    </xf>
    <xf numFmtId="0" fontId="34" fillId="46" borderId="22" xfId="77" applyFont="1" applyFill="1" applyBorder="1" applyAlignment="1">
      <alignment vertical="center" wrapText="1"/>
    </xf>
    <xf numFmtId="173" fontId="71" fillId="58" borderId="102" xfId="0" applyNumberFormat="1" applyFont="1" applyFill="1" applyBorder="1" applyAlignment="1">
      <alignment horizontal="right"/>
    </xf>
    <xf numFmtId="173" fontId="71" fillId="58" borderId="109" xfId="0" applyNumberFormat="1" applyFont="1" applyFill="1" applyBorder="1" applyAlignment="1">
      <alignment horizontal="right"/>
    </xf>
    <xf numFmtId="173" fontId="71" fillId="58" borderId="101" xfId="0" applyNumberFormat="1" applyFont="1" applyFill="1" applyBorder="1" applyAlignment="1">
      <alignment horizontal="right"/>
    </xf>
    <xf numFmtId="0" fontId="56" fillId="58" borderId="105" xfId="0" applyFont="1" applyFill="1" applyBorder="1" applyAlignment="1">
      <alignment horizontal="center" vertical="center"/>
    </xf>
    <xf numFmtId="0" fontId="56" fillId="58" borderId="106" xfId="0" applyFont="1" applyFill="1" applyBorder="1" applyAlignment="1">
      <alignment horizontal="center" vertical="center"/>
    </xf>
    <xf numFmtId="0" fontId="56" fillId="58" borderId="103" xfId="0" applyFont="1" applyFill="1" applyBorder="1" applyAlignment="1">
      <alignment horizontal="center" vertical="center"/>
    </xf>
    <xf numFmtId="0" fontId="58" fillId="0" borderId="122" xfId="0" applyFont="1" applyBorder="1" applyAlignment="1">
      <alignment horizontal="left" wrapText="1"/>
    </xf>
    <xf numFmtId="0" fontId="58" fillId="0" borderId="0" xfId="0" applyFont="1" applyAlignment="1">
      <alignment horizontal="left" wrapText="1"/>
    </xf>
    <xf numFmtId="0" fontId="58" fillId="0" borderId="123" xfId="0" applyFont="1" applyBorder="1" applyAlignment="1">
      <alignment horizontal="left" wrapText="1"/>
    </xf>
    <xf numFmtId="0" fontId="56" fillId="58" borderId="104" xfId="0" applyFont="1" applyFill="1" applyBorder="1" applyAlignment="1">
      <alignment horizontal="center" vertical="center"/>
    </xf>
    <xf numFmtId="0" fontId="8" fillId="58" borderId="104" xfId="0" applyFont="1" applyFill="1" applyBorder="1" applyAlignment="1">
      <alignment vertical="center"/>
    </xf>
    <xf numFmtId="0" fontId="78" fillId="58" borderId="100" xfId="0" applyFont="1" applyFill="1" applyBorder="1" applyAlignment="1">
      <alignment horizontal="center" vertical="center"/>
    </xf>
    <xf numFmtId="0" fontId="78" fillId="58" borderId="108" xfId="0" applyFont="1" applyFill="1" applyBorder="1" applyAlignment="1">
      <alignment horizontal="center" vertical="center"/>
    </xf>
    <xf numFmtId="173" fontId="78" fillId="58" borderId="100" xfId="0" applyNumberFormat="1" applyFont="1" applyFill="1" applyBorder="1" applyAlignment="1">
      <alignment horizontal="right"/>
    </xf>
    <xf numFmtId="173" fontId="78" fillId="58" borderId="108" xfId="0" applyNumberFormat="1" applyFont="1" applyFill="1" applyBorder="1" applyAlignment="1">
      <alignment horizontal="right"/>
    </xf>
    <xf numFmtId="173" fontId="78" fillId="58" borderId="98" xfId="0" applyNumberFormat="1" applyFont="1" applyFill="1" applyBorder="1" applyAlignment="1">
      <alignment horizontal="right"/>
    </xf>
    <xf numFmtId="173" fontId="78" fillId="58" borderId="102" xfId="0" applyNumberFormat="1" applyFont="1" applyFill="1" applyBorder="1" applyAlignment="1">
      <alignment horizontal="right"/>
    </xf>
    <xf numFmtId="173" fontId="78" fillId="58" borderId="109" xfId="0" applyNumberFormat="1" applyFont="1" applyFill="1" applyBorder="1" applyAlignment="1">
      <alignment horizontal="right"/>
    </xf>
    <xf numFmtId="173" fontId="78" fillId="58" borderId="101" xfId="0" applyNumberFormat="1" applyFont="1" applyFill="1" applyBorder="1" applyAlignment="1">
      <alignment horizontal="right"/>
    </xf>
    <xf numFmtId="0" fontId="78" fillId="58" borderId="95" xfId="47" applyFont="1" applyFill="1" applyBorder="1" applyAlignment="1">
      <alignment horizontal="center" vertical="center"/>
    </xf>
    <xf numFmtId="0" fontId="78" fillId="58" borderId="104" xfId="47" applyFont="1" applyFill="1" applyBorder="1" applyAlignment="1">
      <alignment horizontal="center" vertical="center"/>
    </xf>
    <xf numFmtId="0" fontId="78" fillId="58" borderId="95" xfId="47" applyFont="1" applyFill="1" applyBorder="1" applyAlignment="1">
      <alignment horizontal="center" vertical="center" wrapText="1"/>
    </xf>
    <xf numFmtId="0" fontId="78" fillId="58" borderId="104" xfId="47" applyFont="1" applyFill="1" applyBorder="1" applyAlignment="1">
      <alignment horizontal="center" vertical="center" wrapText="1"/>
    </xf>
    <xf numFmtId="0" fontId="78" fillId="58" borderId="110" xfId="47" applyFont="1" applyFill="1" applyBorder="1" applyAlignment="1">
      <alignment horizontal="center" vertical="center"/>
    </xf>
    <xf numFmtId="0" fontId="78" fillId="58" borderId="100" xfId="47" applyFont="1" applyFill="1" applyBorder="1" applyAlignment="1">
      <alignment horizontal="center" vertical="center"/>
    </xf>
    <xf numFmtId="0" fontId="78" fillId="58" borderId="108" xfId="47" applyFont="1" applyFill="1" applyBorder="1" applyAlignment="1">
      <alignment horizontal="center" vertical="center"/>
    </xf>
    <xf numFmtId="0" fontId="78" fillId="58" borderId="98" xfId="47" applyFont="1" applyFill="1" applyBorder="1" applyAlignment="1">
      <alignment horizontal="center" vertical="center"/>
    </xf>
    <xf numFmtId="2" fontId="45" fillId="58" borderId="102" xfId="48" applyNumberFormat="1" applyFont="1" applyFill="1" applyBorder="1" applyAlignment="1">
      <alignment horizontal="center" wrapText="1"/>
    </xf>
    <xf numFmtId="2" fontId="45" fillId="58" borderId="109" xfId="48" applyNumberFormat="1" applyFont="1" applyFill="1" applyBorder="1" applyAlignment="1">
      <alignment horizontal="center" wrapText="1"/>
    </xf>
    <xf numFmtId="2" fontId="45" fillId="58" borderId="101" xfId="48" applyNumberFormat="1" applyFont="1" applyFill="1" applyBorder="1" applyAlignment="1">
      <alignment horizontal="center" wrapText="1"/>
    </xf>
    <xf numFmtId="0" fontId="93" fillId="0" borderId="119" xfId="123" applyFont="1" applyBorder="1" applyAlignment="1">
      <alignment horizontal="left" wrapText="1"/>
    </xf>
    <xf numFmtId="0" fontId="93" fillId="0" borderId="120" xfId="123" applyFont="1" applyBorder="1" applyAlignment="1">
      <alignment horizontal="left" wrapText="1"/>
    </xf>
    <xf numFmtId="0" fontId="93" fillId="0" borderId="121" xfId="123" applyFont="1" applyBorder="1" applyAlignment="1">
      <alignment horizontal="left" wrapText="1"/>
    </xf>
    <xf numFmtId="2" fontId="45" fillId="58" borderId="95" xfId="48" applyNumberFormat="1" applyFont="1" applyFill="1" applyBorder="1" applyAlignment="1">
      <alignment horizontal="center" vertical="center" wrapText="1"/>
    </xf>
    <xf numFmtId="2" fontId="45" fillId="58" borderId="104" xfId="48" applyNumberFormat="1" applyFont="1" applyFill="1" applyBorder="1" applyAlignment="1">
      <alignment horizontal="center" vertical="center" wrapText="1"/>
    </xf>
    <xf numFmtId="2" fontId="45" fillId="58" borderId="95" xfId="48" applyNumberFormat="1" applyFont="1" applyFill="1" applyBorder="1" applyAlignment="1">
      <alignment horizontal="center" wrapText="1"/>
    </xf>
    <xf numFmtId="0" fontId="82" fillId="58" borderId="95" xfId="48" applyFont="1" applyFill="1" applyBorder="1" applyAlignment="1">
      <alignment horizontal="center" vertical="center" wrapText="1"/>
    </xf>
    <xf numFmtId="0" fontId="82" fillId="58" borderId="104" xfId="48" applyFont="1" applyFill="1" applyBorder="1" applyAlignment="1">
      <alignment horizontal="center" vertical="center" wrapText="1"/>
    </xf>
    <xf numFmtId="2" fontId="45" fillId="58" borderId="102" xfId="48" applyNumberFormat="1" applyFont="1" applyFill="1" applyBorder="1" applyAlignment="1">
      <alignment horizontal="center" vertical="center" wrapText="1"/>
    </xf>
    <xf numFmtId="0" fontId="82" fillId="58" borderId="105" xfId="48" applyFont="1" applyFill="1" applyBorder="1" applyAlignment="1">
      <alignment horizontal="center" vertical="center" wrapText="1"/>
    </xf>
    <xf numFmtId="2" fontId="45" fillId="58" borderId="115" xfId="48" applyNumberFormat="1" applyFont="1" applyFill="1" applyBorder="1" applyAlignment="1">
      <alignment horizontal="center" vertical="center" wrapText="1"/>
    </xf>
    <xf numFmtId="0" fontId="82" fillId="58" borderId="128" xfId="48" applyFont="1" applyFill="1" applyBorder="1" applyAlignment="1">
      <alignment horizontal="center" vertical="center" wrapText="1"/>
    </xf>
    <xf numFmtId="2" fontId="45" fillId="58" borderId="95" xfId="59" applyNumberFormat="1" applyFont="1" applyFill="1" applyBorder="1" applyAlignment="1">
      <alignment horizontal="center" wrapText="1"/>
    </xf>
    <xf numFmtId="0" fontId="82" fillId="58" borderId="104" xfId="59" applyFont="1" applyFill="1" applyBorder="1" applyAlignment="1">
      <alignment horizontal="center" wrapText="1"/>
    </xf>
    <xf numFmtId="2" fontId="95" fillId="50" borderId="65" xfId="48" applyNumberFormat="1" applyFont="1" applyFill="1" applyBorder="1" applyAlignment="1">
      <alignment horizontal="center" vertical="center" wrapText="1"/>
    </xf>
    <xf numFmtId="0" fontId="93" fillId="50" borderId="50" xfId="48" applyFont="1" applyFill="1" applyBorder="1" applyAlignment="1">
      <alignment horizontal="center" vertical="center" wrapText="1"/>
    </xf>
    <xf numFmtId="0" fontId="95" fillId="50" borderId="65" xfId="48" applyFont="1" applyFill="1" applyBorder="1" applyAlignment="1">
      <alignment horizontal="center" vertical="center" wrapText="1"/>
    </xf>
    <xf numFmtId="0" fontId="45" fillId="58" borderId="101" xfId="48" applyFont="1" applyFill="1" applyBorder="1" applyAlignment="1">
      <alignment horizontal="center" vertical="center" wrapText="1"/>
    </xf>
    <xf numFmtId="0" fontId="82" fillId="58" borderId="101" xfId="48" applyFont="1" applyFill="1" applyBorder="1" applyAlignment="1">
      <alignment horizontal="center" vertical="center" wrapText="1"/>
    </xf>
    <xf numFmtId="0" fontId="45" fillId="58" borderId="95" xfId="48" applyFont="1" applyFill="1" applyBorder="1" applyAlignment="1">
      <alignment horizontal="center" vertical="center" wrapText="1"/>
    </xf>
    <xf numFmtId="2" fontId="95" fillId="50" borderId="65" xfId="59" applyNumberFormat="1" applyFont="1" applyFill="1" applyBorder="1" applyAlignment="1">
      <alignment horizontal="center" wrapText="1"/>
    </xf>
    <xf numFmtId="0" fontId="93" fillId="50" borderId="50" xfId="59" applyFont="1" applyFill="1" applyBorder="1" applyAlignment="1">
      <alignment horizontal="center" wrapText="1"/>
    </xf>
    <xf numFmtId="2" fontId="45" fillId="58" borderId="95" xfId="61" applyNumberFormat="1" applyFont="1" applyFill="1" applyBorder="1" applyAlignment="1">
      <alignment horizontal="center" wrapText="1"/>
    </xf>
    <xf numFmtId="0" fontId="82" fillId="58" borderId="95" xfId="61" applyFont="1" applyFill="1" applyBorder="1" applyAlignment="1">
      <alignment horizontal="center" wrapText="1"/>
    </xf>
    <xf numFmtId="0" fontId="82" fillId="58" borderId="104" xfId="61" applyFont="1" applyFill="1" applyBorder="1" applyAlignment="1">
      <alignment horizontal="center" wrapText="1"/>
    </xf>
    <xf numFmtId="0" fontId="82" fillId="58" borderId="95" xfId="59" applyFont="1" applyFill="1" applyBorder="1" applyAlignment="1">
      <alignment horizontal="center" wrapText="1"/>
    </xf>
    <xf numFmtId="0" fontId="45" fillId="58" borderId="102" xfId="59" applyFont="1" applyFill="1" applyBorder="1" applyAlignment="1">
      <alignment horizontal="center" wrapText="1"/>
    </xf>
    <xf numFmtId="0" fontId="82" fillId="58" borderId="102" xfId="59" applyFont="1" applyFill="1" applyBorder="1" applyAlignment="1">
      <alignment horizontal="center" wrapText="1"/>
    </xf>
    <xf numFmtId="0" fontId="95" fillId="50" borderId="65" xfId="61" applyFont="1" applyFill="1" applyBorder="1" applyAlignment="1">
      <alignment horizontal="center" wrapText="1"/>
    </xf>
    <xf numFmtId="0" fontId="93" fillId="50" borderId="50" xfId="61" applyFont="1" applyFill="1" applyBorder="1" applyAlignment="1">
      <alignment horizontal="center" wrapText="1"/>
    </xf>
    <xf numFmtId="0" fontId="95" fillId="50" borderId="65" xfId="59" applyFont="1" applyFill="1" applyBorder="1" applyAlignment="1">
      <alignment horizontal="center" wrapText="1"/>
    </xf>
    <xf numFmtId="2" fontId="95" fillId="50" borderId="65" xfId="61" applyNumberFormat="1" applyFont="1" applyFill="1" applyBorder="1" applyAlignment="1">
      <alignment horizontal="center" wrapText="1"/>
    </xf>
    <xf numFmtId="0" fontId="93" fillId="0" borderId="124" xfId="123" applyFont="1" applyBorder="1" applyAlignment="1">
      <alignment horizontal="left" wrapText="1"/>
    </xf>
    <xf numFmtId="0" fontId="93" fillId="0" borderId="125" xfId="123" applyFont="1" applyBorder="1" applyAlignment="1">
      <alignment horizontal="left" wrapText="1"/>
    </xf>
    <xf numFmtId="0" fontId="93" fillId="0" borderId="126" xfId="123" applyFont="1" applyBorder="1" applyAlignment="1">
      <alignment horizontal="left" wrapText="1"/>
    </xf>
    <xf numFmtId="0" fontId="93" fillId="0" borderId="124" xfId="123" applyFont="1" applyBorder="1" applyAlignment="1">
      <alignment horizontal="left" vertical="top" wrapText="1"/>
    </xf>
    <xf numFmtId="0" fontId="93" fillId="0" borderId="125" xfId="123" applyFont="1" applyBorder="1" applyAlignment="1">
      <alignment horizontal="left" vertical="top" wrapText="1"/>
    </xf>
    <xf numFmtId="0" fontId="93" fillId="0" borderId="126" xfId="123" applyFont="1" applyBorder="1" applyAlignment="1">
      <alignment horizontal="left" vertical="top" wrapText="1"/>
    </xf>
    <xf numFmtId="2" fontId="45" fillId="58" borderId="95" xfId="59" applyNumberFormat="1" applyFont="1" applyFill="1" applyBorder="1" applyAlignment="1">
      <alignment horizontal="center" vertical="center" wrapText="1"/>
    </xf>
    <xf numFmtId="0" fontId="82" fillId="58" borderId="104" xfId="59" applyFont="1" applyFill="1" applyBorder="1" applyAlignment="1">
      <alignment horizontal="center" vertical="center" wrapText="1"/>
    </xf>
    <xf numFmtId="2" fontId="56" fillId="58" borderId="95" xfId="48" applyNumberFormat="1" applyFont="1" applyFill="1" applyBorder="1" applyAlignment="1">
      <alignment horizontal="left"/>
    </xf>
    <xf numFmtId="0" fontId="45" fillId="58" borderId="102" xfId="48" applyFont="1" applyFill="1" applyBorder="1" applyAlignment="1">
      <alignment horizontal="center"/>
    </xf>
    <xf numFmtId="0" fontId="45" fillId="58" borderId="109" xfId="48" applyFont="1" applyFill="1" applyBorder="1" applyAlignment="1">
      <alignment horizontal="center"/>
    </xf>
    <xf numFmtId="0" fontId="45" fillId="58" borderId="101" xfId="48" applyFont="1" applyFill="1" applyBorder="1" applyAlignment="1">
      <alignment horizontal="center"/>
    </xf>
    <xf numFmtId="0" fontId="45" fillId="58" borderId="95" xfId="61" applyFont="1" applyFill="1" applyBorder="1" applyAlignment="1">
      <alignment horizontal="center" vertical="center" wrapText="1"/>
    </xf>
    <xf numFmtId="0" fontId="82" fillId="58" borderId="95" xfId="61" applyFont="1" applyFill="1" applyBorder="1" applyAlignment="1">
      <alignment horizontal="center" vertical="center" wrapText="1"/>
    </xf>
    <xf numFmtId="0" fontId="0" fillId="0" borderId="0" xfId="0" applyAlignment="1">
      <alignment horizontal="left"/>
    </xf>
    <xf numFmtId="0" fontId="56" fillId="58" borderId="97" xfId="0" applyFont="1" applyFill="1" applyBorder="1" applyAlignment="1">
      <alignment horizontal="center" vertical="center"/>
    </xf>
    <xf numFmtId="0" fontId="56" fillId="58" borderId="0" xfId="0" applyFont="1" applyFill="1" applyAlignment="1">
      <alignment horizontal="center" vertical="center"/>
    </xf>
    <xf numFmtId="0" fontId="0" fillId="0" borderId="122" xfId="0" applyBorder="1" applyAlignment="1">
      <alignment horizontal="left" wrapText="1"/>
    </xf>
    <xf numFmtId="0" fontId="0" fillId="0" borderId="123" xfId="0" applyBorder="1" applyAlignment="1">
      <alignment horizontal="left" wrapText="1"/>
    </xf>
    <xf numFmtId="0" fontId="78" fillId="58" borderId="99" xfId="47" applyFont="1" applyFill="1" applyBorder="1" applyAlignment="1">
      <alignment horizontal="center" vertical="center" wrapText="1"/>
    </xf>
    <xf numFmtId="0" fontId="78" fillId="58" borderId="110" xfId="47" applyFont="1" applyFill="1" applyBorder="1" applyAlignment="1">
      <alignment horizontal="center" vertical="center" wrapText="1"/>
    </xf>
    <xf numFmtId="0" fontId="78" fillId="58" borderId="102" xfId="47" applyFont="1" applyFill="1" applyBorder="1" applyAlignment="1">
      <alignment horizontal="center" vertical="center"/>
    </xf>
    <xf numFmtId="0" fontId="78" fillId="58" borderId="109" xfId="47" applyFont="1" applyFill="1" applyBorder="1" applyAlignment="1">
      <alignment horizontal="center" vertical="center"/>
    </xf>
    <xf numFmtId="0" fontId="78" fillId="58" borderId="101" xfId="47" applyFont="1" applyFill="1" applyBorder="1" applyAlignment="1">
      <alignment horizontal="center" vertical="center"/>
    </xf>
    <xf numFmtId="0" fontId="64" fillId="58" borderId="105" xfId="0" applyFont="1" applyFill="1" applyBorder="1" applyAlignment="1">
      <alignment horizontal="center" vertical="center"/>
    </xf>
    <xf numFmtId="0" fontId="64" fillId="58" borderId="97" xfId="0" applyFont="1" applyFill="1" applyBorder="1" applyAlignment="1">
      <alignment horizontal="center" vertical="center"/>
    </xf>
    <xf numFmtId="0" fontId="64" fillId="58" borderId="100" xfId="0" applyFont="1" applyFill="1" applyBorder="1" applyAlignment="1">
      <alignment horizontal="center" vertical="center"/>
    </xf>
    <xf numFmtId="0" fontId="74" fillId="58" borderId="0" xfId="0" applyFont="1" applyFill="1" applyAlignment="1">
      <alignment horizontal="center" vertical="center"/>
    </xf>
    <xf numFmtId="0" fontId="0" fillId="0" borderId="0" xfId="0" applyAlignment="1">
      <alignment horizontal="center"/>
    </xf>
    <xf numFmtId="0" fontId="64" fillId="58" borderId="95" xfId="0" applyFont="1" applyFill="1" applyBorder="1" applyAlignment="1">
      <alignment horizontal="center"/>
    </xf>
    <xf numFmtId="0" fontId="61" fillId="58" borderId="95" xfId="0" applyFont="1" applyFill="1" applyBorder="1" applyAlignment="1">
      <alignment horizontal="center"/>
    </xf>
    <xf numFmtId="0" fontId="89" fillId="54" borderId="95" xfId="0" applyFont="1" applyFill="1" applyBorder="1" applyAlignment="1">
      <alignment horizontal="center"/>
    </xf>
    <xf numFmtId="0" fontId="89" fillId="55" borderId="95" xfId="0" applyFont="1" applyFill="1" applyBorder="1" applyAlignment="1">
      <alignment horizontal="center"/>
    </xf>
    <xf numFmtId="0" fontId="64" fillId="58" borderId="128" xfId="0" applyFont="1" applyFill="1" applyBorder="1" applyAlignment="1">
      <alignment horizontal="center" vertical="center"/>
    </xf>
    <xf numFmtId="0" fontId="64" fillId="58" borderId="144" xfId="0" applyFont="1" applyFill="1" applyBorder="1" applyAlignment="1">
      <alignment horizontal="center" vertical="center"/>
    </xf>
    <xf numFmtId="0" fontId="64" fillId="58" borderId="145" xfId="0" applyFont="1" applyFill="1" applyBorder="1" applyAlignment="1">
      <alignment horizontal="center" vertical="center"/>
    </xf>
    <xf numFmtId="0" fontId="59" fillId="55" borderId="0" xfId="0" applyFont="1" applyFill="1" applyAlignment="1">
      <alignment horizontal="center"/>
    </xf>
    <xf numFmtId="0" fontId="20" fillId="33" borderId="0" xfId="30" applyFont="1" applyFill="1" applyAlignment="1">
      <alignment horizontal="left" wrapText="1"/>
    </xf>
    <xf numFmtId="0" fontId="34" fillId="46" borderId="23" xfId="33" applyFont="1" applyFill="1" applyBorder="1" applyAlignment="1">
      <alignment horizontal="center" vertical="center"/>
    </xf>
    <xf numFmtId="0" fontId="34" fillId="46" borderId="41" xfId="33" applyFont="1" applyFill="1" applyBorder="1" applyAlignment="1">
      <alignment horizontal="center" vertical="center"/>
    </xf>
    <xf numFmtId="0" fontId="34" fillId="46" borderId="24" xfId="33" applyFont="1" applyFill="1" applyBorder="1" applyAlignment="1">
      <alignment horizontal="center" vertical="center"/>
    </xf>
    <xf numFmtId="0" fontId="34" fillId="46" borderId="23" xfId="33" applyFont="1" applyFill="1" applyBorder="1" applyAlignment="1">
      <alignment vertical="center"/>
    </xf>
    <xf numFmtId="0" fontId="34" fillId="46" borderId="41" xfId="33" applyFont="1" applyFill="1" applyBorder="1" applyAlignment="1">
      <alignment vertical="center"/>
    </xf>
    <xf numFmtId="0" fontId="34" fillId="46" borderId="24" xfId="33" applyFont="1" applyFill="1" applyBorder="1" applyAlignment="1">
      <alignment vertical="center"/>
    </xf>
    <xf numFmtId="0" fontId="34" fillId="46" borderId="42" xfId="33" applyFont="1" applyFill="1" applyBorder="1" applyAlignment="1">
      <alignment vertical="center" wrapText="1"/>
    </xf>
    <xf numFmtId="0" fontId="34" fillId="46" borderId="43" xfId="33" applyFont="1" applyFill="1" applyBorder="1" applyAlignment="1">
      <alignment vertical="center" wrapText="1"/>
    </xf>
    <xf numFmtId="0" fontId="34" fillId="46" borderId="25" xfId="33" applyFont="1" applyFill="1" applyBorder="1" applyAlignment="1">
      <alignment vertical="center" wrapText="1"/>
    </xf>
    <xf numFmtId="0" fontId="34" fillId="46" borderId="23" xfId="33" applyFont="1" applyFill="1" applyBorder="1" applyAlignment="1">
      <alignment vertical="center" wrapText="1"/>
    </xf>
    <xf numFmtId="0" fontId="34" fillId="46" borderId="41" xfId="33" applyFont="1" applyFill="1" applyBorder="1" applyAlignment="1">
      <alignment vertical="center" wrapText="1"/>
    </xf>
    <xf numFmtId="0" fontId="34" fillId="46" borderId="24" xfId="33" applyFont="1" applyFill="1" applyBorder="1" applyAlignment="1">
      <alignment vertical="center" wrapText="1"/>
    </xf>
    <xf numFmtId="0" fontId="34" fillId="46" borderId="23" xfId="33" applyFont="1" applyFill="1" applyBorder="1" applyAlignment="1">
      <alignment horizontal="left" vertical="center" wrapText="1"/>
    </xf>
    <xf numFmtId="0" fontId="34" fillId="46" borderId="41" xfId="33" applyFont="1" applyFill="1" applyBorder="1" applyAlignment="1">
      <alignment horizontal="left" vertical="center" wrapText="1"/>
    </xf>
    <xf numFmtId="0" fontId="34" fillId="46" borderId="24" xfId="33" applyFont="1" applyFill="1" applyBorder="1" applyAlignment="1">
      <alignment horizontal="left" vertical="center" wrapText="1"/>
    </xf>
    <xf numFmtId="0" fontId="34" fillId="46" borderId="22" xfId="33" applyFont="1" applyFill="1" applyBorder="1" applyAlignment="1">
      <alignment horizontal="left" vertical="center" wrapText="1"/>
    </xf>
    <xf numFmtId="0" fontId="34" fillId="46" borderId="22" xfId="33" applyFont="1" applyFill="1" applyBorder="1" applyAlignment="1">
      <alignment vertical="center"/>
    </xf>
    <xf numFmtId="0" fontId="34" fillId="46" borderId="22" xfId="33" applyFont="1" applyFill="1" applyBorder="1" applyAlignment="1">
      <alignment vertical="center" wrapText="1"/>
    </xf>
    <xf numFmtId="0" fontId="34" fillId="0" borderId="22" xfId="33" applyFont="1" applyBorder="1" applyAlignment="1">
      <alignment horizontal="center"/>
    </xf>
    <xf numFmtId="0" fontId="20" fillId="33" borderId="0" xfId="30" applyFont="1" applyFill="1" applyAlignment="1">
      <alignment horizontal="left" vertical="top" wrapText="1"/>
    </xf>
    <xf numFmtId="0" fontId="11" fillId="33" borderId="54" xfId="30" applyFont="1" applyFill="1" applyBorder="1" applyAlignment="1">
      <alignment horizontal="left" vertical="center"/>
    </xf>
    <xf numFmtId="0" fontId="11" fillId="33" borderId="55" xfId="30" applyFont="1" applyFill="1" applyBorder="1" applyAlignment="1">
      <alignment horizontal="left" vertical="center"/>
    </xf>
    <xf numFmtId="0" fontId="11" fillId="33" borderId="11" xfId="30" applyFont="1" applyFill="1" applyBorder="1" applyAlignment="1">
      <alignment horizontal="left" vertical="center"/>
    </xf>
    <xf numFmtId="0" fontId="11" fillId="33" borderId="57" xfId="30" applyFont="1" applyFill="1" applyBorder="1" applyAlignment="1">
      <alignment horizontal="left" vertical="center"/>
    </xf>
    <xf numFmtId="0" fontId="11" fillId="33" borderId="49" xfId="30" applyFont="1" applyFill="1" applyBorder="1" applyAlignment="1">
      <alignment horizontal="left" vertical="center"/>
    </xf>
    <xf numFmtId="0" fontId="10" fillId="40" borderId="62" xfId="30" applyFont="1" applyFill="1" applyBorder="1" applyAlignment="1">
      <alignment horizontal="left" wrapText="1"/>
    </xf>
    <xf numFmtId="0" fontId="10" fillId="40" borderId="63" xfId="30" applyFont="1" applyFill="1" applyBorder="1" applyAlignment="1">
      <alignment horizontal="left" wrapText="1"/>
    </xf>
    <xf numFmtId="178" fontId="34" fillId="0" borderId="22" xfId="33" applyNumberFormat="1" applyFont="1" applyBorder="1" applyAlignment="1">
      <alignment horizontal="center"/>
    </xf>
    <xf numFmtId="0" fontId="34" fillId="0" borderId="29" xfId="33" applyFont="1" applyBorder="1" applyAlignment="1">
      <alignment horizontal="center" wrapText="1"/>
    </xf>
    <xf numFmtId="0" fontId="34" fillId="0" borderId="30" xfId="33" applyFont="1" applyBorder="1" applyAlignment="1">
      <alignment horizontal="center" wrapText="1"/>
    </xf>
    <xf numFmtId="0" fontId="34" fillId="0" borderId="45" xfId="33" applyFont="1" applyBorder="1" applyAlignment="1">
      <alignment horizontal="center" wrapText="1"/>
    </xf>
    <xf numFmtId="0" fontId="34" fillId="0" borderId="44" xfId="33" applyFont="1" applyBorder="1" applyAlignment="1">
      <alignment horizontal="center" wrapText="1"/>
    </xf>
    <xf numFmtId="0" fontId="34" fillId="0" borderId="38" xfId="33" applyFont="1" applyBorder="1" applyAlignment="1">
      <alignment horizontal="center" wrapText="1"/>
    </xf>
    <xf numFmtId="0" fontId="34" fillId="46" borderId="36" xfId="33" applyFont="1" applyFill="1" applyBorder="1" applyAlignment="1">
      <alignment horizontal="left" vertical="center" wrapText="1"/>
    </xf>
    <xf numFmtId="0" fontId="34" fillId="46" borderId="39" xfId="33" applyFont="1" applyFill="1" applyBorder="1" applyAlignment="1">
      <alignment horizontal="left" vertical="center" wrapText="1"/>
    </xf>
    <xf numFmtId="0" fontId="34" fillId="46" borderId="32" xfId="33" applyFont="1" applyFill="1" applyBorder="1" applyAlignment="1">
      <alignment horizontal="left" vertical="center" wrapText="1"/>
    </xf>
    <xf numFmtId="0" fontId="34" fillId="45" borderId="62" xfId="33" applyFont="1" applyFill="1" applyBorder="1" applyAlignment="1">
      <alignment horizontal="center"/>
    </xf>
    <xf numFmtId="0" fontId="34" fillId="45" borderId="63" xfId="33" applyFont="1" applyFill="1" applyBorder="1" applyAlignment="1">
      <alignment horizontal="center"/>
    </xf>
    <xf numFmtId="0" fontId="34" fillId="45" borderId="64" xfId="33" applyFont="1" applyFill="1" applyBorder="1" applyAlignment="1">
      <alignment horizontal="center"/>
    </xf>
    <xf numFmtId="0" fontId="34" fillId="0" borderId="34" xfId="33" applyFont="1" applyBorder="1" applyAlignment="1">
      <alignment horizontal="center"/>
    </xf>
  </cellXfs>
  <cellStyles count="126">
    <cellStyle name="20% - Énfasis1" xfId="7" builtinId="30" customBuiltin="1"/>
    <cellStyle name="20% - Énfasis2" xfId="11" builtinId="34" customBuiltin="1"/>
    <cellStyle name="20% - Énfasis3" xfId="15" builtinId="38" customBuiltin="1"/>
    <cellStyle name="20% - Énfasis4" xfId="19" builtinId="42" customBuiltin="1"/>
    <cellStyle name="20% - Énfasis5" xfId="23" builtinId="46" customBuiltin="1"/>
    <cellStyle name="20% - Énfasis6" xfId="27" builtinId="50" customBuiltin="1"/>
    <cellStyle name="40% - Énfasis1" xfId="8" builtinId="31" customBuiltin="1"/>
    <cellStyle name="40% - Énfasis2" xfId="12" builtinId="35" customBuiltin="1"/>
    <cellStyle name="40% - Énfasis3" xfId="16" builtinId="39" customBuiltin="1"/>
    <cellStyle name="40% - Énfasis4" xfId="20" builtinId="43" customBuiltin="1"/>
    <cellStyle name="40% - Énfasis5" xfId="24" builtinId="47" customBuiltin="1"/>
    <cellStyle name="40% - Énfasis6" xfId="28" builtinId="51" customBuiltin="1"/>
    <cellStyle name="60% - Énfasis1" xfId="9" builtinId="32" customBuiltin="1"/>
    <cellStyle name="60% - Énfasis2" xfId="13" builtinId="36" customBuiltin="1"/>
    <cellStyle name="60% - Énfasis3" xfId="17" builtinId="40" customBuiltin="1"/>
    <cellStyle name="60% - Énfasis4" xfId="21" builtinId="44" customBuiltin="1"/>
    <cellStyle name="60% - Énfasis5" xfId="25" builtinId="48" customBuiltin="1"/>
    <cellStyle name="60% - Énfasis6" xfId="29" builtinId="52" customBuiltin="1"/>
    <cellStyle name="Bueno" xfId="2" builtinId="26" customBuiltin="1"/>
    <cellStyle name="Calculation 2" xfId="35" xr:uid="{7B03670A-8561-473A-ACD6-7364D5A514F2}"/>
    <cellStyle name="Calculation 3" xfId="34" xr:uid="{F49A52F9-7FAC-4D3E-998C-60ABE11758FD}"/>
    <cellStyle name="Celda de comprobación" xfId="5" builtinId="23" customBuiltin="1"/>
    <cellStyle name="Comma 2" xfId="36" xr:uid="{F43113B5-CABE-4C3B-A7A9-35221FB7983B}"/>
    <cellStyle name="Comma 3" xfId="31" xr:uid="{DCC5EA00-6BB1-4C1D-8B73-09F5AFFE8A24}"/>
    <cellStyle name="Comma 4" xfId="49" xr:uid="{4FA97334-A983-4DA5-B594-5D086B815795}"/>
    <cellStyle name="Énfasis1" xfId="6" builtinId="29" customBuiltin="1"/>
    <cellStyle name="Énfasis2" xfId="10" builtinId="33" customBuiltin="1"/>
    <cellStyle name="Énfasis3" xfId="14" builtinId="37" customBuiltin="1"/>
    <cellStyle name="Énfasis4" xfId="18" builtinId="41" customBuiltin="1"/>
    <cellStyle name="Énfasis5" xfId="22" builtinId="45" customBuiltin="1"/>
    <cellStyle name="Énfasis6" xfId="26" builtinId="49" customBuiltin="1"/>
    <cellStyle name="Explanatory Text 2" xfId="37" xr:uid="{11818957-A9FF-4A2E-AFA6-24EC45B01075}"/>
    <cellStyle name="Followed Hyperlink 2" xfId="38" xr:uid="{5C940A8A-28B4-4285-B57B-EB1414D0F17D}"/>
    <cellStyle name="Grey" xfId="50" xr:uid="{D35532F4-1243-4AF2-9711-9945CA601A12}"/>
    <cellStyle name="Hipervínculo" xfId="63" builtinId="8"/>
    <cellStyle name="Hyperlink 2" xfId="32" xr:uid="{9B388BC8-0AFF-4A56-AA84-6091C1478E76}"/>
    <cellStyle name="Hyperlink 3" xfId="39" xr:uid="{FF96D475-3800-4A44-AF68-09C1C6E4680D}"/>
    <cellStyle name="Incorrecto" xfId="3" builtinId="27" customBuiltin="1"/>
    <cellStyle name="Input [yellow]" xfId="51" xr:uid="{CEB11EF8-EC9E-412E-A950-4A08DBF9CD65}"/>
    <cellStyle name="Input 10" xfId="67" xr:uid="{F158BD18-D1F0-4C3A-9604-4AC9D2C5A137}"/>
    <cellStyle name="Input 11" xfId="76" xr:uid="{E26C3DF1-4A19-429D-AC70-A533C06061CC}"/>
    <cellStyle name="Input 12" xfId="78" xr:uid="{A5E9E9A0-6E9D-4550-96C6-0DA865C23F62}"/>
    <cellStyle name="Input 13" xfId="75" xr:uid="{EB0D577C-E540-4AA6-AA10-7AD9F0F67F80}"/>
    <cellStyle name="Input 14" xfId="80" xr:uid="{A29FCA57-86E7-4859-8AB4-A86A7FC7ED5F}"/>
    <cellStyle name="Input 15" xfId="90" xr:uid="{0C2C8FB8-3F86-4207-A44C-6CA0C410B856}"/>
    <cellStyle name="Input 16" xfId="70" xr:uid="{04409BCA-4669-48D1-859B-02B1E6C73916}"/>
    <cellStyle name="Input 17" xfId="86" xr:uid="{505AB4ED-2F4F-4F49-890D-5C522AA0169E}"/>
    <cellStyle name="Input 18" xfId="69" xr:uid="{3A1DCD1D-D2AA-49CD-9361-F9F8CE5D41DA}"/>
    <cellStyle name="Input 19" xfId="91" xr:uid="{8662C27A-BFA9-476B-A7D2-876F1FAFD2B3}"/>
    <cellStyle name="Input 2" xfId="40" xr:uid="{853028CD-82E6-408A-98A6-7CC47F6C9AAE}"/>
    <cellStyle name="Input 20" xfId="79" xr:uid="{B6606E78-2692-420A-89E2-40CB9F80F3B7}"/>
    <cellStyle name="Input 21" xfId="94" xr:uid="{D4F0A0F0-5465-4BA8-B338-C10CFD1E069D}"/>
    <cellStyle name="Input 22" xfId="83" xr:uid="{1D967BBE-3BC8-4EB0-99F8-B7A4DD915BA0}"/>
    <cellStyle name="Input 23" xfId="99" xr:uid="{199AA57B-AE7B-4F76-8A1A-FF469584EB17}"/>
    <cellStyle name="Input 24" xfId="84" xr:uid="{A316152C-B91D-42C0-9368-E01575B5EE68}"/>
    <cellStyle name="Input 25" xfId="100" xr:uid="{96A0C3CA-8F86-49E8-9507-928C82BB932E}"/>
    <cellStyle name="Input 26" xfId="88" xr:uid="{ACC6B1BE-4283-435F-8C06-3CA09D7B17B7}"/>
    <cellStyle name="Input 27" xfId="101" xr:uid="{887D8EA1-0AE5-43F9-B472-E9FA5C5353A5}"/>
    <cellStyle name="Input 28" xfId="104" xr:uid="{AA5AB054-1792-4124-9308-2781A66B2809}"/>
    <cellStyle name="Input 29" xfId="102" xr:uid="{B2229908-240F-40C3-936B-EBD6E67391FD}"/>
    <cellStyle name="Input 3" xfId="74" xr:uid="{FE5F8471-9993-40D2-AB3F-07216383C765}"/>
    <cellStyle name="Input 30" xfId="105" xr:uid="{89873B9D-99AD-484A-827C-D2DC49D50322}"/>
    <cellStyle name="Input 31" xfId="122" xr:uid="{E484B367-6DA3-43B0-99FD-C9E3A8A2ED83}"/>
    <cellStyle name="Input 4" xfId="68" xr:uid="{469FCA5B-66EE-4092-9F1A-484EE2344C44}"/>
    <cellStyle name="Input 5" xfId="72" xr:uid="{06A222E5-C937-4B5C-9598-96259D6C6DE7}"/>
    <cellStyle name="Input 6" xfId="66" xr:uid="{0DED5003-D76A-4C4D-8A61-85D7BB91CFF0}"/>
    <cellStyle name="Input 7" xfId="71" xr:uid="{9E885B04-02EB-459A-8023-9D81AE76B5BF}"/>
    <cellStyle name="Input 8" xfId="65" xr:uid="{6EE79A47-CC05-4A98-B2F1-7942B52D08B5}"/>
    <cellStyle name="Input 9" xfId="73" xr:uid="{D9464278-28F0-4E64-A7C4-308524207A1D}"/>
    <cellStyle name="Input data" xfId="41" xr:uid="{43092E79-3B15-4903-B80D-79F1F8B17544}"/>
    <cellStyle name="Linked Cell 2" xfId="42" xr:uid="{7A3310C1-E9F2-44E8-8BF1-C832B7384F3A}"/>
    <cellStyle name="Millares" xfId="125" builtinId="3"/>
    <cellStyle name="Neutral" xfId="4" builtinId="28" customBuiltin="1"/>
    <cellStyle name="Normal" xfId="0" builtinId="0"/>
    <cellStyle name="Normal - Style1" xfId="52" xr:uid="{08528618-840E-48D7-B827-DF081627CEB2}"/>
    <cellStyle name="Normal 10" xfId="82" xr:uid="{8212B0D9-0DCC-402C-842C-3F98D0E18B67}"/>
    <cellStyle name="Normal 11" xfId="85" xr:uid="{66425F22-ACBA-4F4C-B97D-9BCCA137A172}"/>
    <cellStyle name="Normal 12" xfId="87" xr:uid="{C086E43D-15E6-4A18-8232-DC88F0827D38}"/>
    <cellStyle name="Normal 13" xfId="89" xr:uid="{6446CA38-DE4B-41D5-9895-643F1B6E83F3}"/>
    <cellStyle name="Normal 14" xfId="92" xr:uid="{1E706D90-6B11-4D0D-9FEF-7CFB744A1DB0}"/>
    <cellStyle name="Normal 15" xfId="93" xr:uid="{986CE45A-7184-4BAB-941F-D8C0F9EFF74D}"/>
    <cellStyle name="Normal 16" xfId="95" xr:uid="{EECB8648-CBD3-488D-9360-5DBB52BF01FD}"/>
    <cellStyle name="Normal 17" xfId="97" xr:uid="{A4C54DC4-A9F8-4FCB-B065-E818155F4B8B}"/>
    <cellStyle name="Normal 18" xfId="98" xr:uid="{48786FEC-C18D-42B9-B910-4B3143322705}"/>
    <cellStyle name="Normal 19" xfId="96" xr:uid="{E8A1A356-4224-494B-A67F-32C65BA0A9C4}"/>
    <cellStyle name="Normal 2" xfId="33" xr:uid="{40BAFBF1-EC63-4B93-8378-97BAB1A2BC92}"/>
    <cellStyle name="Normal 20" xfId="103" xr:uid="{24C44E46-10C6-4391-A989-5BD88F3E5F28}"/>
    <cellStyle name="Normal 21" xfId="106" xr:uid="{BAF981D0-61C1-4DE9-AF15-E02AEF4530E5}"/>
    <cellStyle name="Normal 22" xfId="107" xr:uid="{8F2EC65A-DB7D-40BC-8F7F-398EF41D2F24}"/>
    <cellStyle name="Normal 23" xfId="108" xr:uid="{A19B9F18-298E-4E61-B6EF-4E0328DA461E}"/>
    <cellStyle name="Normal 24" xfId="109" xr:uid="{C783ACA1-1DF4-45F4-B3FD-5EEE1DB15F12}"/>
    <cellStyle name="Normal 25" xfId="110" xr:uid="{77C55809-47E6-4328-8E13-20CB0F50F879}"/>
    <cellStyle name="Normal 26" xfId="111" xr:uid="{7FFFBBFA-8ED3-4390-A6B7-8189202C7675}"/>
    <cellStyle name="Normal 27" xfId="112" xr:uid="{508A3D08-FB73-41EB-99E2-CEDC0955F9D9}"/>
    <cellStyle name="Normal 28" xfId="113" xr:uid="{F8E2E369-BA70-4E61-970D-A94C5FE644F6}"/>
    <cellStyle name="Normal 29" xfId="114" xr:uid="{D0EBFD57-4DDC-4A14-AF33-8656DD2A9E18}"/>
    <cellStyle name="Normal 3" xfId="48" xr:uid="{2B7BC9C0-BDA4-474E-9B38-4EE731E93AB6}"/>
    <cellStyle name="Normal 30" xfId="115" xr:uid="{9632C348-EA50-40F8-8AF0-0EA1996F8273}"/>
    <cellStyle name="Normal 31" xfId="116" xr:uid="{6381C4D7-F0F2-4098-A2D9-9FC45A12F0AB}"/>
    <cellStyle name="Normal 32" xfId="117" xr:uid="{460CFE3C-6146-4F9C-A6D1-37ED1ADBC921}"/>
    <cellStyle name="Normal 33" xfId="118" xr:uid="{918CCAB9-20D1-42A0-AEFA-5DE2573BE94D}"/>
    <cellStyle name="Normal 34" xfId="119" xr:uid="{34294DEC-6175-47C9-A2EE-D5C95C8EFE64}"/>
    <cellStyle name="Normal 35" xfId="121" xr:uid="{96656892-C4CC-46A1-BB63-AC21F243DC09}"/>
    <cellStyle name="Normal 36" xfId="123" xr:uid="{35B469E1-F717-4928-A989-1960D1A616FE}"/>
    <cellStyle name="Normal 4" xfId="30" xr:uid="{68CC301E-305B-4813-9DF0-004AE89DBD0F}"/>
    <cellStyle name="Normal 5" xfId="59" xr:uid="{C31EA415-F405-4C66-A66E-0F1357221DBF}"/>
    <cellStyle name="Normal 6" xfId="61" xr:uid="{248F7638-AB15-4EB0-944D-1C053D433D12}"/>
    <cellStyle name="Normal 7" xfId="64" xr:uid="{3308A04B-0570-465D-A046-A8287467657F}"/>
    <cellStyle name="Normal 8" xfId="77" xr:uid="{11E8C573-E34F-4CE5-9499-6D035500BDE8}"/>
    <cellStyle name="Normal 9" xfId="81" xr:uid="{3EE47194-18CA-487A-9931-5E56EDDC1844}"/>
    <cellStyle name="Normal_Stationary_combustion_tool_GL1" xfId="47" xr:uid="{A5BF746E-EEF3-4822-A7D0-9C44181B91BD}"/>
    <cellStyle name="Note 2" xfId="43" xr:uid="{F43EE3AA-55A2-4236-A657-4EFE88BD27FC}"/>
    <cellStyle name="Output 2" xfId="44" xr:uid="{DB00C61A-280E-4204-88ED-3610C2079DC5}"/>
    <cellStyle name="Percent [2]" xfId="54" xr:uid="{A5D66432-F8B6-4583-BCCA-03A75F1B8A2B}"/>
    <cellStyle name="Percent 2" xfId="53" xr:uid="{406E7E45-84BA-4311-B839-7DAB757B39F6}"/>
    <cellStyle name="Percent 3" xfId="60" xr:uid="{FFC21179-C818-4BF7-8E95-DD1849192382}"/>
    <cellStyle name="Percent 4" xfId="62" xr:uid="{6F5F8F98-C41D-4339-9B73-79008E86FDB9}"/>
    <cellStyle name="Percent 5" xfId="124" xr:uid="{F88EC89D-D144-4A6C-8188-CC13407CEFC3}"/>
    <cellStyle name="Selection" xfId="45" xr:uid="{C852861D-4B8B-4BDF-8B79-F214FE3F2E05}"/>
    <cellStyle name="Título" xfId="1" builtinId="15" customBuiltin="1"/>
    <cellStyle name="Tusental (0)_pldt" xfId="55" xr:uid="{6FA73D19-9A8A-4D15-8F05-DB8206801BF8}"/>
    <cellStyle name="Tusental_pldt" xfId="56" xr:uid="{EFDD1461-7D88-4FDA-8F07-983F6FE39C7C}"/>
    <cellStyle name="Valuta (0)_pldt" xfId="57" xr:uid="{C7840EFA-74E4-4591-87E3-23968B8ECFD7}"/>
    <cellStyle name="Valuta_pldt" xfId="58" xr:uid="{2232EA6B-AC29-45BF-A0F9-E10B2FBABF88}"/>
    <cellStyle name="Warning Text 2" xfId="46" xr:uid="{C93DAA37-BFCE-4B97-AF4D-B0CBCCB740FA}"/>
    <cellStyle name="WRI tabel head" xfId="120" xr:uid="{F46B6627-3DCB-4175-AA07-12E4003922E9}"/>
  </cellStyles>
  <dxfs count="329">
    <dxf>
      <font>
        <color theme="0"/>
      </font>
      <fill>
        <patternFill>
          <bgColor rgb="FF008080"/>
        </patternFill>
      </fill>
    </dxf>
    <dxf>
      <font>
        <color theme="0"/>
      </font>
      <fill>
        <patternFill>
          <bgColor rgb="FF008080"/>
        </patternFill>
      </fill>
    </dxf>
    <dxf>
      <font>
        <color theme="0"/>
      </font>
      <fill>
        <patternFill>
          <bgColor rgb="FF008080"/>
        </patternFill>
      </fill>
    </dxf>
    <dxf>
      <font>
        <color theme="0"/>
      </font>
      <fill>
        <patternFill>
          <bgColor rgb="FF008080"/>
        </patternFill>
      </fill>
    </dxf>
    <dxf>
      <font>
        <color theme="0"/>
      </font>
      <fill>
        <patternFill>
          <bgColor rgb="FF008080"/>
        </patternFill>
      </fill>
    </dxf>
    <dxf>
      <font>
        <color theme="0"/>
      </font>
      <fill>
        <patternFill>
          <bgColor rgb="FF008080"/>
        </patternFill>
      </fill>
    </dxf>
    <dxf>
      <font>
        <color theme="0"/>
      </font>
      <fill>
        <patternFill>
          <bgColor rgb="FF008080"/>
        </patternFill>
      </fill>
    </dxf>
    <dxf>
      <font>
        <color theme="0"/>
      </font>
      <fill>
        <patternFill>
          <bgColor rgb="FF008080"/>
        </patternFill>
      </fill>
    </dxf>
    <dxf>
      <font>
        <color theme="0"/>
      </font>
      <fill>
        <patternFill>
          <bgColor rgb="FF008080"/>
        </patternFill>
      </fill>
    </dxf>
    <dxf>
      <font>
        <color theme="0"/>
      </font>
      <fill>
        <patternFill>
          <bgColor rgb="FF008080"/>
        </patternFill>
      </fill>
    </dxf>
    <dxf>
      <font>
        <color theme="0"/>
      </font>
      <fill>
        <patternFill>
          <bgColor rgb="FF008080"/>
        </patternFill>
      </fill>
    </dxf>
    <dxf>
      <font>
        <color theme="0"/>
      </font>
      <fill>
        <patternFill>
          <bgColor rgb="FF008080"/>
        </patternFill>
      </fill>
    </dxf>
    <dxf>
      <font>
        <color theme="0"/>
      </font>
      <fill>
        <patternFill>
          <bgColor rgb="FF008080"/>
        </patternFill>
      </fill>
    </dxf>
    <dxf>
      <font>
        <color theme="0"/>
      </font>
      <fill>
        <patternFill>
          <bgColor rgb="FF008080"/>
        </patternFill>
      </fill>
    </dxf>
    <dxf>
      <font>
        <color theme="0"/>
      </font>
      <fill>
        <patternFill>
          <bgColor rgb="FF008080"/>
        </patternFill>
      </fill>
    </dxf>
    <dxf>
      <font>
        <color theme="0"/>
      </font>
      <fill>
        <patternFill>
          <bgColor rgb="FF008080"/>
        </patternFill>
      </fill>
    </dxf>
    <dxf>
      <font>
        <color theme="0"/>
      </font>
      <fill>
        <patternFill>
          <bgColor rgb="FF008080"/>
        </patternFill>
      </fill>
    </dxf>
    <dxf>
      <font>
        <color theme="0"/>
      </font>
      <fill>
        <patternFill>
          <bgColor rgb="FF008080"/>
        </patternFill>
      </fill>
    </dxf>
    <dxf>
      <fill>
        <patternFill>
          <bgColor rgb="FF008080"/>
        </patternFill>
      </fill>
    </dxf>
    <dxf>
      <fill>
        <patternFill>
          <bgColor rgb="FF008080"/>
        </patternFill>
      </fill>
    </dxf>
    <dxf>
      <fill>
        <patternFill>
          <bgColor rgb="FF008080"/>
        </patternFill>
      </fill>
    </dxf>
    <dxf>
      <fill>
        <patternFill>
          <bgColor rgb="FF008080"/>
        </patternFill>
      </fill>
    </dxf>
    <dxf>
      <fill>
        <patternFill>
          <bgColor rgb="FF008080"/>
        </patternFill>
      </fill>
    </dxf>
    <dxf>
      <fill>
        <patternFill>
          <bgColor rgb="FF008080"/>
        </patternFill>
      </fill>
    </dxf>
    <dxf>
      <fill>
        <patternFill>
          <bgColor rgb="FF008080"/>
        </patternFill>
      </fill>
    </dxf>
    <dxf>
      <font>
        <color theme="0"/>
      </font>
      <fill>
        <patternFill patternType="solid">
          <bgColor rgb="FF008080"/>
        </patternFill>
      </fill>
    </dxf>
    <dxf>
      <fill>
        <patternFill>
          <bgColor rgb="FF008080"/>
        </patternFill>
      </fill>
    </dxf>
    <dxf>
      <fill>
        <patternFill>
          <bgColor rgb="FF008080"/>
        </patternFill>
      </fill>
    </dxf>
    <dxf>
      <fill>
        <patternFill>
          <bgColor rgb="FF008080"/>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ont>
        <strike val="0"/>
        <outline val="0"/>
        <shadow val="0"/>
        <u val="none"/>
        <vertAlign val="baseline"/>
        <sz val="12"/>
        <name val="Calibri"/>
        <family val="2"/>
        <scheme val="minor"/>
      </font>
      <numFmt numFmtId="0" formatCode="General"/>
      <fill>
        <patternFill patternType="solid">
          <fgColor indexed="64"/>
          <bgColor theme="0" tint="-0.14999847407452621"/>
        </patternFill>
      </fill>
      <alignment horizontal="general" vertical="bottom" textRotation="0" wrapText="1" indent="0" justifyLastLine="0" shrinkToFit="0" readingOrder="0"/>
      <border diagonalUp="0" diagonalDown="0" outline="0">
        <left style="thin">
          <color theme="0"/>
        </left>
        <right/>
        <top style="thin">
          <color theme="0"/>
        </top>
        <bottom style="thin">
          <color theme="0"/>
        </bottom>
      </border>
    </dxf>
    <dxf>
      <border diagonalUp="0" diagonalDown="0" outline="0">
        <left style="thin">
          <color indexed="64"/>
        </left>
        <right/>
        <top/>
        <bottom style="thin">
          <color indexed="64"/>
        </bottom>
      </border>
    </dxf>
    <dxf>
      <font>
        <strike val="0"/>
        <outline val="0"/>
        <shadow val="0"/>
        <u val="none"/>
        <vertAlign val="baseline"/>
        <sz val="12"/>
        <name val="Calibri"/>
        <family val="2"/>
        <scheme val="minor"/>
      </font>
      <numFmt numFmtId="0" formatCode="General"/>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dxf>
    <dxf>
      <border diagonalUp="0" diagonalDown="0" outline="0">
        <left style="thin">
          <color auto="1"/>
        </left>
        <right style="thin">
          <color auto="1"/>
        </right>
        <top/>
        <bottom style="thin">
          <color auto="1"/>
        </bottom>
      </border>
    </dxf>
    <dxf>
      <font>
        <b val="0"/>
        <i val="0"/>
        <strike val="0"/>
        <condense val="0"/>
        <extend val="0"/>
        <outline val="0"/>
        <shadow val="0"/>
        <u val="none"/>
        <vertAlign val="baseline"/>
        <sz val="12"/>
        <color theme="1"/>
        <name val="Calibri"/>
        <family val="2"/>
        <scheme val="minor"/>
      </font>
      <numFmt numFmtId="184" formatCode="[=0]0;[&lt;0.001]0.000E+00;0.000"/>
      <fill>
        <patternFill patternType="solid">
          <fgColor indexed="64"/>
          <bgColor theme="0" tint="-0.1499984740745262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0"/>
        <color indexed="8"/>
        <name val="Arial"/>
        <family val="2"/>
        <scheme val="none"/>
      </font>
      <numFmt numFmtId="184" formatCode="[=0]0;[&lt;0.001]0.000E+00;0.000"/>
      <alignment horizontal="right" vertical="center" textRotation="0" wrapText="0" indent="0" justifyLastLine="0" shrinkToFit="0" readingOrder="0"/>
      <border diagonalUp="0" diagonalDown="0" outline="0">
        <left style="thin">
          <color auto="1"/>
        </left>
        <right style="thin">
          <color auto="1"/>
        </right>
        <top/>
        <bottom style="thin">
          <color auto="1"/>
        </bottom>
      </border>
      <protection locked="1" hidden="1"/>
    </dxf>
    <dxf>
      <font>
        <b val="0"/>
        <i val="0"/>
        <strike val="0"/>
        <condense val="0"/>
        <extend val="0"/>
        <outline val="0"/>
        <shadow val="0"/>
        <u val="none"/>
        <vertAlign val="baseline"/>
        <sz val="12"/>
        <color indexed="8"/>
        <name val="Calibri"/>
        <family val="2"/>
        <scheme val="minor"/>
      </font>
      <numFmt numFmtId="184" formatCode="[=0]0;[&lt;0.001]0.000E+00;0.000"/>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protection locked="1" hidden="1"/>
    </dxf>
    <dxf>
      <font>
        <b val="0"/>
        <i val="0"/>
        <strike val="0"/>
        <condense val="0"/>
        <extend val="0"/>
        <outline val="0"/>
        <shadow val="0"/>
        <u val="none"/>
        <vertAlign val="baseline"/>
        <sz val="10"/>
        <color indexed="8"/>
        <name val="Arial"/>
        <family val="2"/>
        <scheme val="none"/>
      </font>
      <numFmt numFmtId="184" formatCode="[=0]0;[&lt;0.001]0.000E+00;0.000"/>
      <alignment horizontal="right" vertical="center" textRotation="0" wrapText="0" indent="0" justifyLastLine="0" shrinkToFit="0" readingOrder="0"/>
      <border diagonalUp="0" diagonalDown="0" outline="0">
        <left style="thin">
          <color auto="1"/>
        </left>
        <right style="thin">
          <color auto="1"/>
        </right>
        <top/>
        <bottom style="thin">
          <color auto="1"/>
        </bottom>
      </border>
      <protection locked="1" hidden="1"/>
    </dxf>
    <dxf>
      <font>
        <b val="0"/>
        <i val="0"/>
        <strike val="0"/>
        <condense val="0"/>
        <extend val="0"/>
        <outline val="0"/>
        <shadow val="0"/>
        <u val="none"/>
        <vertAlign val="baseline"/>
        <sz val="12"/>
        <color theme="1"/>
        <name val="Calibri"/>
        <family val="2"/>
        <scheme val="minor"/>
      </font>
      <numFmt numFmtId="184" formatCode="[=0]0;[&lt;0.001]0.000E+00;0.000"/>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dxf>
    <dxf>
      <font>
        <b val="0"/>
        <i val="0"/>
        <strike val="0"/>
        <condense val="0"/>
        <extend val="0"/>
        <outline val="0"/>
        <shadow val="0"/>
        <u val="none"/>
        <vertAlign val="baseline"/>
        <sz val="10"/>
        <color indexed="8"/>
        <name val="Arial"/>
        <family val="2"/>
        <scheme val="none"/>
      </font>
      <numFmt numFmtId="184" formatCode="[=0]0;[&lt;0.001]0.000E+00;0.000"/>
      <alignment horizontal="right" vertical="center" textRotation="0" wrapText="0" indent="0" justifyLastLine="0" shrinkToFit="0" readingOrder="0"/>
      <border diagonalUp="0" diagonalDown="0" outline="0">
        <left style="thin">
          <color auto="1"/>
        </left>
        <right style="thin">
          <color auto="1"/>
        </right>
        <top/>
        <bottom style="thin">
          <color auto="1"/>
        </bottom>
      </border>
      <protection locked="1" hidden="1"/>
    </dxf>
    <dxf>
      <font>
        <b val="0"/>
        <i val="0"/>
        <strike val="0"/>
        <condense val="0"/>
        <extend val="0"/>
        <outline val="0"/>
        <shadow val="0"/>
        <u val="none"/>
        <vertAlign val="baseline"/>
        <sz val="12"/>
        <color theme="1"/>
        <name val="Calibri"/>
        <family val="2"/>
        <scheme val="minor"/>
      </font>
      <numFmt numFmtId="184" formatCode="[=0]0;[&lt;0.001]0.000E+00;0.000"/>
      <fill>
        <patternFill patternType="solid">
          <fgColor indexed="64"/>
          <bgColor theme="0" tint="-0.1499984740745262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0"/>
        <color indexed="8"/>
        <name val="Arial"/>
        <family val="2"/>
        <scheme val="none"/>
      </font>
      <numFmt numFmtId="184" formatCode="[=0]0;[&lt;0.001]0.000E+00;0.000"/>
      <alignment horizontal="right" vertical="center" textRotation="0" wrapText="0" indent="0" justifyLastLine="0" shrinkToFit="0" readingOrder="0"/>
      <border diagonalUp="0" diagonalDown="0" outline="0">
        <left style="thin">
          <color auto="1"/>
        </left>
        <right style="thin">
          <color auto="1"/>
        </right>
        <top/>
        <bottom style="thin">
          <color auto="1"/>
        </bottom>
      </border>
      <protection locked="1" hidden="1"/>
    </dxf>
    <dxf>
      <font>
        <b val="0"/>
        <i val="0"/>
        <strike val="0"/>
        <condense val="0"/>
        <extend val="0"/>
        <outline val="0"/>
        <shadow val="0"/>
        <u val="none"/>
        <vertAlign val="baseline"/>
        <sz val="12"/>
        <color theme="1"/>
        <name val="Calibri"/>
        <family val="2"/>
        <scheme val="minor"/>
      </font>
      <numFmt numFmtId="189" formatCode="0.000000"/>
      <fill>
        <patternFill patternType="solid">
          <fgColor indexed="64"/>
          <bgColor theme="0" tint="-0.1499984740745262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0"/>
        <color indexed="8"/>
        <name val="Arial"/>
        <family val="2"/>
        <scheme val="none"/>
      </font>
      <numFmt numFmtId="184" formatCode="[=0]0;[&lt;0.001]0.000E+00;0.000"/>
      <alignment horizontal="right" vertical="center" textRotation="0" wrapText="0" indent="0" justifyLastLine="0" shrinkToFit="0" readingOrder="0"/>
      <border diagonalUp="0" diagonalDown="0" outline="0">
        <left style="thin">
          <color auto="1"/>
        </left>
        <right style="thin">
          <color auto="1"/>
        </right>
        <top/>
        <bottom style="thin">
          <color auto="1"/>
        </bottom>
      </border>
      <protection locked="1" hidden="1"/>
    </dxf>
    <dxf>
      <font>
        <strike val="0"/>
        <outline val="0"/>
        <shadow val="0"/>
        <u val="none"/>
        <vertAlign val="baseline"/>
        <sz val="12"/>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8"/>
        <color indexed="8"/>
        <name val="Arial"/>
        <family val="2"/>
        <scheme val="none"/>
      </font>
      <alignment horizontal="left"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strike val="0"/>
        <outline val="0"/>
        <shadow val="0"/>
        <u val="none"/>
        <vertAlign val="baseline"/>
        <sz val="12"/>
        <name val="Calibri"/>
        <family val="2"/>
        <scheme val="minor"/>
      </font>
      <fill>
        <patternFill patternType="solid">
          <fgColor indexed="64"/>
          <bgColor theme="8"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8"/>
        <color indexed="8"/>
        <name val="Arial"/>
        <family val="2"/>
        <scheme val="none"/>
      </font>
      <alignment horizontal="left"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12"/>
        <color indexed="8"/>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indexed="8"/>
        <name val="Arial"/>
        <family val="2"/>
        <scheme val="none"/>
      </font>
      <alignment horizontal="left"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12"/>
        <color auto="1"/>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Calibri"/>
        <family val="2"/>
        <scheme val="minor"/>
      </font>
      <alignment horizontal="left"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strike val="0"/>
        <outline val="0"/>
        <shadow val="0"/>
        <u val="none"/>
        <vertAlign val="baseline"/>
        <sz val="12"/>
        <name val="Calibri"/>
        <family val="2"/>
        <scheme val="minor"/>
      </font>
      <numFmt numFmtId="0" formatCode="General"/>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alignment horizontal="general" vertical="bottom" textRotation="0" wrapText="0" indent="0" justifyLastLine="0" shrinkToFit="0" readingOrder="0"/>
      <border diagonalUp="0" diagonalDown="0" outline="0">
        <left style="thin">
          <color auto="1"/>
        </left>
        <right style="thin">
          <color auto="1"/>
        </right>
        <top/>
        <bottom style="thin">
          <color auto="1"/>
        </bottom>
      </border>
    </dxf>
    <dxf>
      <font>
        <strike val="0"/>
        <outline val="0"/>
        <shadow val="0"/>
        <u val="none"/>
        <vertAlign val="baseline"/>
        <sz val="12"/>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protection locked="0"/>
    </dxf>
    <dxf>
      <alignment horizontal="general" vertical="bottom" textRotation="0" wrapText="0" indent="0" justifyLastLine="0" shrinkToFit="0" readingOrder="0"/>
      <border diagonalUp="0" diagonalDown="0" outline="0">
        <left style="thin">
          <color auto="1"/>
        </left>
        <right style="thin">
          <color auto="1"/>
        </right>
        <top/>
        <bottom style="thin">
          <color auto="1"/>
        </bottom>
      </border>
    </dxf>
    <dxf>
      <font>
        <b val="0"/>
        <i val="0"/>
        <strike val="0"/>
        <condense val="0"/>
        <extend val="0"/>
        <outline val="0"/>
        <shadow val="0"/>
        <u val="none"/>
        <vertAlign val="baseline"/>
        <sz val="12"/>
        <color indexed="8"/>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indexed="8"/>
        <name val="Calibri"/>
        <family val="2"/>
        <scheme val="minor"/>
      </font>
      <alignment horizontal="left"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12"/>
        <color indexed="8"/>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indexed="8"/>
        <name val="Calibri"/>
        <family val="2"/>
        <scheme val="minor"/>
      </font>
      <alignment horizontal="left"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strike val="0"/>
        <outline val="0"/>
        <shadow val="0"/>
        <u val="none"/>
        <vertAlign val="baseline"/>
        <sz val="12"/>
        <name val="Calibri"/>
        <family val="2"/>
        <scheme val="minor"/>
      </font>
      <fill>
        <patternFill patternType="solid">
          <fgColor indexed="64"/>
          <bgColor theme="8"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protection locked="0"/>
    </dxf>
    <dxf>
      <font>
        <b val="0"/>
        <i val="0"/>
        <strike val="0"/>
        <condense val="0"/>
        <extend val="0"/>
        <outline val="0"/>
        <shadow val="0"/>
        <u val="none"/>
        <vertAlign val="baseline"/>
        <sz val="8"/>
        <color indexed="8"/>
        <name val="Arial"/>
        <family val="2"/>
        <scheme val="none"/>
      </font>
      <alignment horizontal="left"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12"/>
        <color rgb="FFFF0000"/>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right style="thin">
          <color theme="0"/>
        </right>
        <top style="thin">
          <color theme="0"/>
        </top>
        <bottom style="thin">
          <color theme="0"/>
        </bottom>
      </border>
      <protection locked="0"/>
    </dxf>
    <dxf>
      <font>
        <b val="0"/>
        <i val="0"/>
        <strike val="0"/>
        <condense val="0"/>
        <extend val="0"/>
        <outline val="0"/>
        <shadow val="0"/>
        <u val="none"/>
        <vertAlign val="baseline"/>
        <sz val="14"/>
        <color indexed="8"/>
        <name val="Wingdings"/>
        <charset val="2"/>
        <scheme val="none"/>
      </font>
      <alignment horizontal="center" vertical="center" textRotation="0" wrapText="0" indent="0" justifyLastLine="0" shrinkToFit="0" readingOrder="0"/>
      <border diagonalUp="0" diagonalDown="0" outline="0">
        <left/>
        <right style="thin">
          <color indexed="64"/>
        </right>
        <top/>
        <bottom style="thin">
          <color indexed="64"/>
        </bottom>
      </border>
      <protection locked="1" hidden="1"/>
    </dxf>
    <dxf>
      <border>
        <top style="thin">
          <color theme="0"/>
        </top>
      </border>
    </dxf>
    <dxf>
      <border diagonalUp="0" diagonalDown="0">
        <left style="thin">
          <color theme="0"/>
        </left>
        <right style="thin">
          <color theme="0"/>
        </right>
        <top style="thin">
          <color theme="0"/>
        </top>
        <bottom style="thin">
          <color theme="0"/>
        </bottom>
      </border>
    </dxf>
    <dxf>
      <font>
        <strike val="0"/>
        <outline val="0"/>
        <shadow val="0"/>
        <u val="none"/>
        <vertAlign val="baseline"/>
        <sz val="12"/>
        <name val="Calibri"/>
        <family val="2"/>
        <scheme val="minor"/>
      </font>
      <numFmt numFmtId="184" formatCode="[=0]0;[&lt;0.001]0.000E+00;0.000"/>
    </dxf>
    <dxf>
      <border outline="0">
        <bottom style="thin">
          <color indexed="64"/>
        </bottom>
      </border>
    </dxf>
    <dxf>
      <font>
        <b val="0"/>
        <i val="0"/>
        <strike val="0"/>
        <condense val="0"/>
        <extend val="0"/>
        <outline val="0"/>
        <shadow val="0"/>
        <u val="none"/>
        <vertAlign val="baseline"/>
        <sz val="12"/>
        <color indexed="8"/>
        <name val="Calibri"/>
        <family val="2"/>
        <scheme val="minor"/>
      </font>
      <numFmt numFmtId="184" formatCode="[=0]0;[&lt;0.001]0.000E+00;0.000"/>
      <alignment horizontal="right" vertical="center" textRotation="0" wrapText="0" indent="0" justifyLastLine="0" shrinkToFit="0" readingOrder="0"/>
      <border diagonalUp="0" diagonalDown="0" outline="0">
        <left style="thin">
          <color theme="0"/>
        </left>
        <right style="thin">
          <color theme="0"/>
        </right>
        <top/>
        <bottom/>
      </border>
      <protection locked="1" hidden="1"/>
    </dxf>
    <dxf>
      <font>
        <strike val="0"/>
        <outline val="0"/>
        <shadow val="0"/>
        <u val="none"/>
        <name val="Calibri"/>
        <family val="2"/>
        <scheme val="minor"/>
      </font>
      <numFmt numFmtId="0" formatCode="General"/>
      <fill>
        <patternFill patternType="solid">
          <fgColor indexed="64"/>
          <bgColor theme="0" tint="-0.14999847407452621"/>
        </patternFill>
      </fill>
      <border diagonalUp="0" diagonalDown="0">
        <left style="thin">
          <color theme="0"/>
        </left>
        <right/>
        <top style="thin">
          <color theme="0"/>
        </top>
        <bottom style="thin">
          <color theme="0"/>
        </bottom>
      </border>
    </dxf>
    <dxf>
      <font>
        <strike val="0"/>
        <outline val="0"/>
        <shadow val="0"/>
        <u val="none"/>
        <name val="Calibri"/>
        <family val="2"/>
        <scheme val="minor"/>
      </font>
      <numFmt numFmtId="0" formatCode="General"/>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dxf>
    <dxf>
      <font>
        <strike val="0"/>
        <outline val="0"/>
        <shadow val="0"/>
        <u val="none"/>
        <name val="Calibri"/>
        <family val="2"/>
        <scheme val="minor"/>
      </font>
      <numFmt numFmtId="0" formatCode="General"/>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dxf>
    <dxf>
      <font>
        <strike val="0"/>
        <outline val="0"/>
        <shadow val="0"/>
        <u val="none"/>
        <name val="Calibri"/>
        <family val="2"/>
        <scheme val="minor"/>
      </font>
      <numFmt numFmtId="0" formatCode="General"/>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dxf>
    <dxf>
      <font>
        <strike val="0"/>
        <outline val="0"/>
        <shadow val="0"/>
        <u val="none"/>
        <name val="Calibri"/>
        <family val="2"/>
        <scheme val="minor"/>
      </font>
      <numFmt numFmtId="0" formatCode="General"/>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dxf>
    <dxf>
      <font>
        <strike val="0"/>
        <outline val="0"/>
        <shadow val="0"/>
        <u val="none"/>
        <name val="Calibri"/>
        <family val="2"/>
        <scheme val="minor"/>
      </font>
      <numFmt numFmtId="175" formatCode="0.00000"/>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dxf>
    <dxf>
      <font>
        <strike val="0"/>
        <outline val="0"/>
        <shadow val="0"/>
        <u val="none"/>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name val="Calibri"/>
        <family val="2"/>
        <scheme val="minor"/>
      </font>
      <fill>
        <patternFill patternType="solid">
          <fgColor indexed="64"/>
          <bgColor theme="8"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right style="thin">
          <color theme="0"/>
        </right>
        <top style="thin">
          <color theme="0"/>
        </top>
        <bottom style="thin">
          <color theme="0"/>
        </bottom>
      </border>
    </dxf>
    <dxf>
      <border>
        <top style="thin">
          <color theme="0"/>
        </top>
      </border>
    </dxf>
    <dxf>
      <border diagonalUp="0" diagonalDown="0">
        <left style="thin">
          <color theme="0"/>
        </left>
        <right style="thin">
          <color theme="0"/>
        </right>
        <top style="thin">
          <color theme="0"/>
        </top>
        <bottom style="thin">
          <color theme="0"/>
        </bottom>
      </border>
    </dxf>
    <dxf>
      <font>
        <strike val="0"/>
        <outline val="0"/>
        <shadow val="0"/>
        <u val="none"/>
        <name val="Calibri"/>
        <family val="2"/>
        <scheme val="minor"/>
      </font>
    </dxf>
    <dxf>
      <border>
        <bottom style="thin">
          <color theme="0"/>
        </bottom>
      </border>
    </dxf>
    <dxf>
      <font>
        <strike val="0"/>
        <outline val="0"/>
        <shadow val="0"/>
        <u val="none"/>
        <name val="Calibri"/>
        <family val="2"/>
        <scheme val="minor"/>
      </font>
      <alignment horizontal="center" vertical="center" textRotation="0" indent="0" justifyLastLine="0" shrinkToFit="0" readingOrder="0"/>
      <border diagonalUp="0" diagonalDown="0" outline="0">
        <left style="thin">
          <color theme="0"/>
        </left>
        <right style="thin">
          <color theme="0"/>
        </right>
        <top/>
        <bottom/>
      </border>
    </dxf>
    <dxf>
      <font>
        <strike val="0"/>
        <outline val="0"/>
        <shadow val="0"/>
        <u val="none"/>
        <vertAlign val="baseline"/>
        <sz val="12"/>
        <name val="Calibri"/>
        <family val="2"/>
        <scheme val="minor"/>
      </font>
      <numFmt numFmtId="0" formatCode="General"/>
      <fill>
        <patternFill patternType="solid">
          <fgColor indexed="64"/>
          <bgColor theme="0" tint="-0.14999847407452621"/>
        </patternFill>
      </fill>
      <alignment horizontal="general" vertical="bottom" textRotation="0" wrapText="1" indent="0" justifyLastLine="0" shrinkToFit="0" readingOrder="0"/>
      <border diagonalUp="0" diagonalDown="0" outline="0">
        <left style="thin">
          <color theme="0"/>
        </left>
        <right/>
        <top style="thin">
          <color theme="0"/>
        </top>
        <bottom style="thin">
          <color theme="0"/>
        </bottom>
      </border>
    </dxf>
    <dxf>
      <border diagonalUp="0" diagonalDown="0" outline="0">
        <left style="thin">
          <color indexed="64"/>
        </left>
        <right/>
        <top/>
        <bottom style="thin">
          <color indexed="64"/>
        </bottom>
      </border>
    </dxf>
    <dxf>
      <font>
        <strike val="0"/>
        <outline val="0"/>
        <shadow val="0"/>
        <u val="none"/>
        <vertAlign val="baseline"/>
        <sz val="12"/>
        <name val="Calibri"/>
        <family val="2"/>
        <scheme val="minor"/>
      </font>
      <numFmt numFmtId="173" formatCode="0.000"/>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dxf>
    <dxf>
      <border diagonalUp="0" diagonalDown="0" outline="0">
        <left style="thin">
          <color auto="1"/>
        </left>
        <right style="thin">
          <color auto="1"/>
        </right>
        <top/>
        <bottom style="thin">
          <color auto="1"/>
        </bottom>
      </border>
    </dxf>
    <dxf>
      <font>
        <strike val="0"/>
        <outline val="0"/>
        <shadow val="0"/>
        <u val="none"/>
        <vertAlign val="baseline"/>
        <sz val="12"/>
        <name val="Calibri"/>
        <family val="2"/>
        <scheme val="minor"/>
      </font>
      <numFmt numFmtId="173" formatCode="0.000"/>
      <fill>
        <patternFill patternType="solid">
          <fgColor indexed="64"/>
          <bgColor theme="0" tint="-0.1499984740745262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8"/>
        <color indexed="8"/>
        <name val="Arial"/>
        <family val="2"/>
        <scheme val="none"/>
      </font>
      <numFmt numFmtId="184" formatCode="[=0]0;[&lt;0.001]0.000E+00;0.000"/>
      <alignment horizontal="right" vertical="center" textRotation="0" wrapText="0" indent="0" justifyLastLine="0" shrinkToFit="0" readingOrder="0"/>
      <border diagonalUp="0" diagonalDown="0" outline="0">
        <left style="thin">
          <color auto="1"/>
        </left>
        <right style="thin">
          <color auto="1"/>
        </right>
        <top/>
        <bottom style="thin">
          <color auto="1"/>
        </bottom>
      </border>
      <protection locked="1" hidden="1"/>
    </dxf>
    <dxf>
      <font>
        <strike val="0"/>
        <outline val="0"/>
        <shadow val="0"/>
        <u val="none"/>
        <vertAlign val="baseline"/>
        <sz val="12"/>
        <name val="Calibri"/>
        <family val="2"/>
        <scheme val="minor"/>
      </font>
      <numFmt numFmtId="173" formatCode="0.000"/>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dxf>
    <dxf>
      <font>
        <b val="0"/>
        <i val="0"/>
        <strike val="0"/>
        <condense val="0"/>
        <extend val="0"/>
        <outline val="0"/>
        <shadow val="0"/>
        <u val="none"/>
        <vertAlign val="baseline"/>
        <sz val="8"/>
        <color indexed="8"/>
        <name val="Arial"/>
        <family val="2"/>
        <scheme val="none"/>
      </font>
      <numFmt numFmtId="184" formatCode="[=0]0;[&lt;0.001]0.000E+00;0.000"/>
      <alignment horizontal="right" vertical="center" textRotation="0" wrapText="0" indent="0" justifyLastLine="0" shrinkToFit="0" readingOrder="0"/>
      <border diagonalUp="0" diagonalDown="0" outline="0">
        <left style="thin">
          <color auto="1"/>
        </left>
        <right style="thin">
          <color auto="1"/>
        </right>
        <top/>
        <bottom style="thin">
          <color auto="1"/>
        </bottom>
      </border>
      <protection locked="1" hidden="1"/>
    </dxf>
    <dxf>
      <font>
        <strike val="0"/>
        <outline val="0"/>
        <shadow val="0"/>
        <u val="none"/>
        <vertAlign val="baseline"/>
        <sz val="12"/>
        <name val="Calibri"/>
        <family val="2"/>
        <scheme val="minor"/>
      </font>
      <numFmt numFmtId="189" formatCode="0.000000"/>
      <fill>
        <patternFill patternType="solid">
          <fgColor indexed="64"/>
          <bgColor theme="0" tint="-0.1499984740745262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8"/>
        <color indexed="8"/>
        <name val="Arial"/>
        <family val="2"/>
        <scheme val="none"/>
      </font>
      <numFmt numFmtId="184" formatCode="[=0]0;[&lt;0.001]0.000E+00;0.000"/>
      <alignment horizontal="right" vertical="center" textRotation="0" wrapText="0" indent="0" justifyLastLine="0" shrinkToFit="0" readingOrder="0"/>
      <border diagonalUp="0" diagonalDown="0" outline="0">
        <left style="thin">
          <color auto="1"/>
        </left>
        <right style="thin">
          <color auto="1"/>
        </right>
        <top/>
        <bottom style="thin">
          <color auto="1"/>
        </bottom>
      </border>
      <protection locked="1" hidden="1"/>
    </dxf>
    <dxf>
      <font>
        <strike val="0"/>
        <outline val="0"/>
        <shadow val="0"/>
        <u val="none"/>
        <vertAlign val="baseline"/>
        <sz val="12"/>
        <name val="Calibri"/>
        <family val="2"/>
        <scheme val="minor"/>
      </font>
      <numFmt numFmtId="189" formatCode="0.000000"/>
      <fill>
        <patternFill patternType="solid">
          <fgColor indexed="64"/>
          <bgColor theme="0" tint="-0.1499984740745262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8"/>
        <color indexed="8"/>
        <name val="Arial"/>
        <family val="2"/>
        <scheme val="none"/>
      </font>
      <numFmt numFmtId="184" formatCode="[=0]0;[&lt;0.001]0.000E+00;0.000"/>
      <alignment horizontal="right" vertical="center" textRotation="0" wrapText="0" indent="0" justifyLastLine="0" shrinkToFit="0" readingOrder="0"/>
      <border diagonalUp="0" diagonalDown="0" outline="0">
        <left style="thin">
          <color auto="1"/>
        </left>
        <right style="thin">
          <color auto="1"/>
        </right>
        <top/>
        <bottom style="thin">
          <color auto="1"/>
        </bottom>
      </border>
      <protection locked="1" hidden="1"/>
    </dxf>
    <dxf>
      <font>
        <strike val="0"/>
        <outline val="0"/>
        <shadow val="0"/>
        <u val="none"/>
        <vertAlign val="baseline"/>
        <sz val="12"/>
        <name val="Calibri"/>
        <family val="2"/>
        <scheme val="minor"/>
      </font>
      <numFmt numFmtId="173" formatCode="0.000"/>
      <fill>
        <patternFill patternType="solid">
          <fgColor indexed="64"/>
          <bgColor theme="0" tint="-0.1499984740745262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8"/>
        <color indexed="8"/>
        <name val="Arial"/>
        <family val="2"/>
        <scheme val="none"/>
      </font>
      <numFmt numFmtId="184" formatCode="[=0]0;[&lt;0.001]0.000E+00;0.000"/>
      <alignment horizontal="right" vertical="center" textRotation="0" wrapText="0" indent="0" justifyLastLine="0" shrinkToFit="0" readingOrder="0"/>
      <border diagonalUp="0" diagonalDown="0" outline="0">
        <left style="thin">
          <color auto="1"/>
        </left>
        <right style="thin">
          <color auto="1"/>
        </right>
        <top/>
        <bottom style="thin">
          <color auto="1"/>
        </bottom>
      </border>
      <protection locked="1" hidden="1"/>
    </dxf>
    <dxf>
      <font>
        <b val="0"/>
        <i val="0"/>
        <strike val="0"/>
        <condense val="0"/>
        <extend val="0"/>
        <outline val="0"/>
        <shadow val="0"/>
        <u val="none"/>
        <vertAlign val="baseline"/>
        <sz val="12"/>
        <color indexed="8"/>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8"/>
        <color indexed="8"/>
        <name val="Arial"/>
        <family val="2"/>
        <scheme val="none"/>
      </font>
      <alignment horizontal="left"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12"/>
        <color theme="1"/>
        <name val="Calibri"/>
        <family val="2"/>
        <scheme val="minor"/>
      </font>
      <numFmt numFmtId="0" formatCode="General"/>
      <fill>
        <patternFill patternType="solid">
          <fgColor indexed="64"/>
          <bgColor theme="8" tint="0.59999389629810485"/>
        </patternFill>
      </fill>
      <alignment horizontal="center" vertical="center" textRotation="0" wrapText="0" indent="0" justifyLastLine="0" shrinkToFit="0" readingOrder="0"/>
      <border diagonalUp="0" diagonalDown="0" outline="0">
        <left style="thin">
          <color theme="0"/>
        </left>
        <right style="thin">
          <color theme="0"/>
        </right>
        <top/>
        <bottom style="thin">
          <color theme="0"/>
        </bottom>
      </border>
      <protection locked="1" hidden="0"/>
    </dxf>
    <dxf>
      <font>
        <b val="0"/>
        <i val="0"/>
        <strike val="0"/>
        <condense val="0"/>
        <extend val="0"/>
        <outline val="0"/>
        <shadow val="0"/>
        <u val="none"/>
        <vertAlign val="baseline"/>
        <sz val="8"/>
        <color indexed="8"/>
        <name val="Arial"/>
        <family val="2"/>
        <scheme val="none"/>
      </font>
      <alignment horizontal="left"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strike val="0"/>
        <outline val="0"/>
        <shadow val="0"/>
        <u val="none"/>
        <vertAlign val="baseline"/>
        <sz val="12"/>
        <name val="Calibri"/>
        <family val="2"/>
        <scheme val="minor"/>
      </font>
      <fill>
        <patternFill patternType="solid">
          <fgColor indexed="64"/>
          <bgColor theme="8"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8"/>
        <color indexed="8"/>
        <name val="Arial"/>
        <family val="2"/>
        <scheme val="none"/>
      </font>
      <alignment horizontal="left"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12"/>
        <color theme="1"/>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1"/>
        <color indexed="8"/>
        <name val="Arial"/>
        <family val="2"/>
        <scheme val="none"/>
      </font>
      <alignment horizontal="left"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12"/>
        <color indexed="8"/>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indexed="8"/>
        <name val="Calibri"/>
        <family val="2"/>
        <scheme val="minor"/>
      </font>
      <alignment horizontal="left"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12"/>
        <color indexed="8"/>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indexed="8"/>
        <name val="Calibri"/>
        <family val="2"/>
        <scheme val="minor"/>
      </font>
      <alignment horizontal="left"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12"/>
        <color indexed="8"/>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indexed="8"/>
        <name val="Calibri"/>
        <family val="2"/>
        <scheme val="minor"/>
      </font>
      <alignment horizontal="left"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strike val="0"/>
        <outline val="0"/>
        <shadow val="0"/>
        <u val="none"/>
        <vertAlign val="baseline"/>
        <sz val="12"/>
        <name val="Calibri"/>
        <family val="2"/>
        <scheme val="minor"/>
      </font>
      <fill>
        <patternFill patternType="solid">
          <fgColor indexed="64"/>
          <bgColor theme="8"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8"/>
        <color indexed="8"/>
        <name val="Arial"/>
        <family val="2"/>
        <scheme val="none"/>
      </font>
      <alignment horizontal="left"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12"/>
        <color indexed="8"/>
        <name val="Calibri"/>
        <family val="2"/>
        <scheme val="minor"/>
      </font>
      <fill>
        <patternFill patternType="solid">
          <fgColor indexed="64"/>
          <bgColor theme="5" tint="0.59999389629810485"/>
        </patternFill>
      </fill>
      <alignment horizontal="center" vertical="center" textRotation="0" wrapText="0" indent="0" justifyLastLine="0" shrinkToFit="0" readingOrder="0"/>
      <border diagonalUp="0" diagonalDown="0" outline="0">
        <left/>
        <right style="thin">
          <color theme="0"/>
        </right>
        <top style="thin">
          <color theme="0"/>
        </top>
        <bottom style="thin">
          <color theme="0"/>
        </bottom>
      </border>
    </dxf>
    <dxf>
      <font>
        <b val="0"/>
        <i val="0"/>
        <strike val="0"/>
        <condense val="0"/>
        <extend val="0"/>
        <outline val="0"/>
        <shadow val="0"/>
        <u val="none"/>
        <vertAlign val="baseline"/>
        <sz val="14"/>
        <color indexed="8"/>
        <name val="Wingdings"/>
        <charset val="2"/>
        <scheme val="none"/>
      </font>
      <alignment horizontal="center" vertical="center" textRotation="0" wrapText="0" indent="0" justifyLastLine="0" shrinkToFit="0" readingOrder="0"/>
      <border diagonalUp="0" diagonalDown="0" outline="0">
        <left/>
        <right style="thin">
          <color indexed="64"/>
        </right>
        <top/>
        <bottom style="thin">
          <color indexed="64"/>
        </bottom>
      </border>
      <protection locked="1" hidden="1"/>
    </dxf>
    <dxf>
      <border>
        <top style="thin">
          <color theme="0"/>
        </top>
      </border>
    </dxf>
    <dxf>
      <border diagonalUp="0" diagonalDown="0">
        <left style="thin">
          <color theme="0"/>
        </left>
        <right style="thin">
          <color theme="0"/>
        </right>
        <top style="thin">
          <color theme="0"/>
        </top>
        <bottom style="thin">
          <color theme="0"/>
        </bottom>
      </border>
    </dxf>
    <dxf>
      <font>
        <strike val="0"/>
        <outline val="0"/>
        <shadow val="0"/>
        <u val="none"/>
        <vertAlign val="baseline"/>
        <sz val="12"/>
        <name val="Calibri"/>
        <family val="2"/>
        <scheme val="minor"/>
      </font>
      <numFmt numFmtId="184" formatCode="[=0]0;[&lt;0.001]0.000E+00;0.000"/>
    </dxf>
    <dxf>
      <border outline="0">
        <bottom style="thin">
          <color indexed="64"/>
        </bottom>
      </border>
    </dxf>
    <dxf>
      <font>
        <b val="0"/>
        <i val="0"/>
        <strike val="0"/>
        <condense val="0"/>
        <extend val="0"/>
        <outline val="0"/>
        <shadow val="0"/>
        <u val="none"/>
        <vertAlign val="baseline"/>
        <sz val="12"/>
        <color indexed="8"/>
        <name val="Calibri"/>
        <family val="2"/>
        <scheme val="minor"/>
      </font>
      <numFmt numFmtId="184" formatCode="[=0]0;[&lt;0.001]0.000E+00;0.000"/>
      <alignment horizontal="right" vertical="center" textRotation="0" wrapText="0" indent="0" justifyLastLine="0" shrinkToFit="0" readingOrder="0"/>
      <border diagonalUp="0" diagonalDown="0" outline="0">
        <left style="thin">
          <color theme="0"/>
        </left>
        <right style="thin">
          <color theme="0"/>
        </right>
        <top/>
        <bottom/>
      </border>
      <protection locked="1" hidden="1"/>
    </dxf>
    <dxf>
      <numFmt numFmtId="0" formatCode="General"/>
      <fill>
        <patternFill patternType="solid">
          <fgColor indexed="64"/>
          <bgColor theme="0" tint="-0.14999847407452621"/>
        </patternFill>
      </fill>
      <alignment horizontal="general" vertical="bottom" textRotation="0" wrapText="1" indent="0" justifyLastLine="0" shrinkToFit="0" readingOrder="0"/>
      <border diagonalUp="0" diagonalDown="0">
        <left style="thin">
          <color theme="0"/>
        </left>
        <right/>
        <top style="thin">
          <color theme="0"/>
        </top>
        <bottom style="thin">
          <color theme="0"/>
        </bottom>
      </border>
    </dxf>
    <dxf>
      <numFmt numFmtId="0" formatCode="General"/>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dxf>
    <dxf>
      <numFmt numFmtId="173" formatCode="0.000"/>
      <fill>
        <patternFill patternType="solid">
          <fgColor indexed="64"/>
          <bgColor theme="0" tint="-0.1499984740745262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numFmt numFmtId="173" formatCode="0.000"/>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dxf>
    <dxf>
      <numFmt numFmtId="190" formatCode="0.0000000"/>
      <fill>
        <patternFill patternType="solid">
          <fgColor indexed="64"/>
          <bgColor theme="0" tint="-0.1499984740745262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numFmt numFmtId="190" formatCode="0.0000000"/>
      <fill>
        <patternFill patternType="solid">
          <fgColor indexed="64"/>
          <bgColor theme="0" tint="-0.1499984740745262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numFmt numFmtId="173" formatCode="0.000"/>
      <fill>
        <patternFill patternType="solid">
          <fgColor indexed="64"/>
          <bgColor theme="0" tint="-0.1499984740745262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auto="1"/>
        <name val="Arial"/>
        <family val="2"/>
        <scheme val="none"/>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2"/>
        <color auto="1"/>
        <name val="Arial"/>
        <family val="2"/>
        <scheme val="none"/>
      </font>
      <fill>
        <patternFill patternType="solid">
          <fgColor indexed="64"/>
          <bgColor theme="8"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2"/>
        <color auto="1"/>
        <name val="Arial"/>
        <family val="2"/>
        <scheme val="none"/>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2"/>
        <color auto="1"/>
        <name val="Arial"/>
        <family val="2"/>
        <scheme val="none"/>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2"/>
        <color auto="1"/>
        <name val="Arial"/>
        <family val="2"/>
        <scheme val="none"/>
      </font>
      <fill>
        <patternFill patternType="solid">
          <fgColor indexed="64"/>
          <bgColor theme="5" tint="0.59999389629810485"/>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2"/>
        <color auto="1"/>
        <name val="Arial"/>
        <family val="2"/>
        <scheme val="none"/>
      </font>
      <fill>
        <patternFill patternType="solid">
          <fgColor indexed="64"/>
          <bgColor theme="5" tint="0.59999389629810485"/>
        </patternFill>
      </fill>
      <alignment horizontal="center" vertical="center" textRotation="0" wrapText="0" indent="0" justifyLastLine="0" shrinkToFit="0" readingOrder="0"/>
      <border diagonalUp="0" diagonalDown="0" outline="0">
        <left/>
        <right style="thin">
          <color theme="0"/>
        </right>
        <top style="thin">
          <color theme="0"/>
        </top>
        <bottom style="thin">
          <color theme="0"/>
        </bottom>
      </border>
      <protection locked="0" hidden="0"/>
    </dxf>
    <dxf>
      <border>
        <top style="thin">
          <color theme="0"/>
        </top>
      </border>
    </dxf>
    <dxf>
      <border diagonalUp="0" diagonalDown="0">
        <left style="thin">
          <color theme="0"/>
        </left>
        <right style="thin">
          <color theme="0"/>
        </right>
        <top style="thin">
          <color theme="0"/>
        </top>
        <bottom style="thin">
          <color theme="0"/>
        </bottom>
      </border>
    </dxf>
    <dxf>
      <border>
        <bottom style="thin">
          <color theme="0"/>
        </bottom>
      </border>
    </dxf>
    <dxf>
      <font>
        <b val="0"/>
        <i val="0"/>
        <strike val="0"/>
        <condense val="0"/>
        <extend val="0"/>
        <outline val="0"/>
        <shadow val="0"/>
        <u val="none"/>
        <vertAlign val="baseline"/>
        <sz val="12"/>
        <color theme="0"/>
        <name val="Arial"/>
        <family val="2"/>
        <scheme val="none"/>
      </font>
      <fill>
        <patternFill patternType="solid">
          <fgColor indexed="64"/>
          <bgColor rgb="FF008080"/>
        </patternFill>
      </fill>
      <alignment horizontal="center" vertical="center" textRotation="0" wrapText="1" indent="0" justifyLastLine="0" shrinkToFit="0" readingOrder="0"/>
      <border diagonalUp="0" diagonalDown="0" outline="0">
        <left style="thin">
          <color theme="0"/>
        </left>
        <right style="thin">
          <color theme="0"/>
        </right>
        <top/>
        <bottom/>
      </border>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3" formatCode="#,##0"/>
      <alignment horizontal="center"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85" formatCode="0.0"/>
      <alignment horizontal="center"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dxf>
    <dxf>
      <font>
        <b val="0"/>
        <i val="0"/>
        <strike val="0"/>
        <condense val="0"/>
        <extend val="0"/>
        <outline val="0"/>
        <shadow val="0"/>
        <u val="none"/>
        <vertAlign val="baseline"/>
        <sz val="10"/>
        <color auto="1"/>
        <name val="Arial"/>
        <family val="2"/>
        <scheme val="none"/>
      </font>
    </dxf>
    <dxf>
      <font>
        <b val="0"/>
        <i val="0"/>
        <strike val="0"/>
        <condense val="0"/>
        <extend val="0"/>
        <outline val="0"/>
        <shadow val="0"/>
        <u val="none"/>
        <vertAlign val="baseline"/>
        <sz val="10"/>
        <color auto="1"/>
        <name val="Arial"/>
        <family val="2"/>
        <scheme val="none"/>
      </font>
      <alignment horizontal="center" vertical="bottom" textRotation="0" wrapText="0" indent="0" justifyLastLine="0" shrinkToFit="0" readingOrder="0"/>
    </dxf>
    <dxf>
      <border outline="0">
        <bottom style="thin">
          <color theme="4" tint="0.39997558519241921"/>
        </bottom>
      </border>
    </dxf>
    <dxf>
      <font>
        <b/>
        <i val="0"/>
        <strike val="0"/>
        <condense val="0"/>
        <extend val="0"/>
        <outline val="0"/>
        <shadow val="0"/>
        <u val="none"/>
        <vertAlign val="baseline"/>
        <sz val="11"/>
        <color theme="0"/>
        <name val="Calibri"/>
        <family val="2"/>
        <scheme val="minor"/>
      </font>
      <numFmt numFmtId="3" formatCode="#,##0"/>
      <fill>
        <patternFill patternType="solid">
          <fgColor theme="4"/>
          <bgColor theme="9"/>
        </patternFill>
      </fill>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numFmt numFmtId="3" formatCode="#,##0"/>
      <alignment horizontal="center" vertical="bottom" textRotation="0" wrapText="0" indent="0" justifyLastLine="0" shrinkToFit="0" readingOrder="0"/>
    </dxf>
    <dxf>
      <alignment horizontal="center" vertical="bottom" textRotation="0" wrapText="0" indent="0" justifyLastLine="0" shrinkToFit="0" readingOrder="0"/>
    </dxf>
    <dxf>
      <numFmt numFmtId="3" formatCode="#,##0"/>
      <fill>
        <patternFill patternType="solid">
          <fgColor indexed="64"/>
          <bgColor theme="9"/>
        </patternFill>
      </fill>
      <alignment horizontal="center" vertical="bottom" textRotation="0" wrapText="0" indent="0" justifyLastLine="0" shrinkToFit="0" readingOrder="0"/>
    </dxf>
    <dxf>
      <numFmt numFmtId="3" formatCode="#,##0"/>
      <fill>
        <patternFill patternType="none">
          <fgColor indexed="64"/>
          <bgColor auto="1"/>
        </patternFill>
      </fill>
      <alignment horizontal="center" vertical="bottom" textRotation="0" wrapText="0" indent="0" justifyLastLine="0" shrinkToFit="0" readingOrder="0"/>
      <border diagonalUp="0" diagonalDown="0">
        <left/>
        <right/>
        <top style="thin">
          <color theme="4" tint="0.39997558519241921"/>
        </top>
        <bottom/>
        <vertical/>
      </border>
    </dxf>
    <dxf>
      <numFmt numFmtId="3" formatCode="#,##0"/>
      <fill>
        <patternFill patternType="none">
          <fgColor indexed="64"/>
          <bgColor auto="1"/>
        </patternFill>
      </fill>
      <alignment horizontal="center" vertical="bottom" textRotation="0" wrapText="0" indent="0" justifyLastLine="0" shrinkToFit="0" readingOrder="0"/>
      <border diagonalUp="0" diagonalDown="0">
        <left/>
        <right/>
        <top style="thin">
          <color theme="4" tint="0.39997558519241921"/>
        </top>
        <bottom/>
        <vertical/>
      </border>
    </dxf>
    <dxf>
      <numFmt numFmtId="3" formatCode="#,##0"/>
      <fill>
        <patternFill patternType="none">
          <fgColor indexed="64"/>
          <bgColor auto="1"/>
        </patternFill>
      </fill>
      <alignment horizontal="center" vertical="bottom" textRotation="0" wrapText="0" indent="0" justifyLastLine="0" shrinkToFit="0" readingOrder="0"/>
      <border diagonalUp="0" diagonalDown="0">
        <left/>
        <right/>
        <top style="thin">
          <color theme="4" tint="0.39997558519241921"/>
        </top>
        <bottom/>
        <vertical/>
      </border>
    </dxf>
    <dxf>
      <numFmt numFmtId="3" formatCode="#,##0"/>
      <fill>
        <patternFill patternType="none">
          <fgColor indexed="64"/>
          <bgColor auto="1"/>
        </patternFill>
      </fill>
      <alignment horizontal="center" vertical="bottom" textRotation="0" wrapText="0" indent="0" justifyLastLine="0" shrinkToFit="0" readingOrder="0"/>
      <border diagonalUp="0" diagonalDown="0">
        <left/>
        <right/>
        <top style="thin">
          <color theme="4" tint="0.39997558519241921"/>
        </top>
        <bottom/>
        <vertical/>
      </border>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center" vertical="bottom" textRotation="0" wrapText="0" indent="0" justifyLastLine="0" shrinkToFit="0" readingOrder="0"/>
    </dxf>
    <dxf>
      <font>
        <b/>
        <i val="0"/>
        <strike val="0"/>
        <condense val="0"/>
        <extend val="0"/>
        <outline val="0"/>
        <shadow val="0"/>
        <u val="none"/>
        <vertAlign val="baseline"/>
        <sz val="11"/>
        <color theme="0"/>
        <name val="Calibri"/>
        <family val="2"/>
        <scheme val="minor"/>
      </font>
      <numFmt numFmtId="3" formatCode="#,##0"/>
      <fill>
        <patternFill patternType="solid">
          <fgColor theme="4"/>
          <bgColor theme="9"/>
        </patternFill>
      </fill>
      <alignment horizontal="center" vertical="bottom" textRotation="0" wrapText="0" indent="0" justifyLastLine="0" shrinkToFit="0" readingOrder="0"/>
    </dxf>
    <dxf>
      <font>
        <strike val="0"/>
        <outline val="0"/>
        <shadow val="0"/>
        <u val="none"/>
        <vertAlign val="baseline"/>
        <sz val="12"/>
        <color theme="1"/>
        <name val="Calibri"/>
        <family val="2"/>
        <scheme val="minor"/>
      </font>
      <alignment horizontal="center" textRotation="0" indent="0" justifyLastLine="0" shrinkToFit="0" readingOrder="0"/>
    </dxf>
    <dxf>
      <font>
        <strike val="0"/>
        <outline val="0"/>
        <shadow val="0"/>
        <u val="none"/>
        <vertAlign val="baseline"/>
        <sz val="12"/>
        <color theme="1"/>
        <name val="Calibri"/>
        <family val="2"/>
        <scheme val="minor"/>
      </font>
      <alignment horizontal="center" vertical="bottom" textRotation="0" wrapText="0" indent="0" justifyLastLine="0" shrinkToFit="0" readingOrder="0"/>
    </dxf>
    <dxf>
      <font>
        <strike val="0"/>
        <outline val="0"/>
        <shadow val="0"/>
        <u val="none"/>
        <vertAlign val="baseline"/>
        <sz val="12"/>
        <color theme="1"/>
        <name val="Calibri"/>
        <family val="2"/>
        <scheme val="minor"/>
      </font>
      <alignment horizontal="left" vertical="bottom" textRotation="0" wrapText="0" indent="0" justifyLastLine="0" shrinkToFit="0" readingOrder="0"/>
    </dxf>
    <dxf>
      <font>
        <strike val="0"/>
        <outline val="0"/>
        <shadow val="0"/>
        <u val="none"/>
        <vertAlign val="baseline"/>
        <sz val="12"/>
        <color theme="1"/>
        <name val="Calibri"/>
        <family val="2"/>
        <scheme val="minor"/>
      </font>
      <alignment horizontal="left" vertical="bottom" textRotation="0" wrapText="0" indent="0" justifyLastLine="0" shrinkToFit="0" readingOrder="0"/>
    </dxf>
    <dxf>
      <font>
        <strike val="0"/>
        <outline val="0"/>
        <shadow val="0"/>
        <u val="none"/>
        <vertAlign val="baseline"/>
        <sz val="12"/>
        <color theme="1"/>
        <name val="Calibri"/>
        <family val="2"/>
        <scheme val="minor"/>
      </font>
      <alignment horizontal="center" vertical="bottom" textRotation="0" wrapText="0" indent="0" justifyLastLine="0" shrinkToFit="0" readingOrder="0"/>
    </dxf>
    <dxf>
      <font>
        <strike val="0"/>
        <outline val="0"/>
        <shadow val="0"/>
        <u val="none"/>
        <vertAlign val="baseline"/>
        <sz val="12"/>
        <color theme="1"/>
        <name val="Calibri"/>
        <family val="2"/>
        <scheme val="minor"/>
      </font>
      <alignment horizontal="center" vertical="bottom" textRotation="0" wrapText="0" indent="0" justifyLastLine="0" shrinkToFit="0" readingOrder="0"/>
    </dxf>
    <dxf>
      <font>
        <strike val="0"/>
        <outline val="0"/>
        <shadow val="0"/>
        <u val="none"/>
        <vertAlign val="baseline"/>
        <sz val="12"/>
        <color theme="1"/>
        <name val="Calibri"/>
        <family val="2"/>
        <scheme val="minor"/>
      </font>
      <alignment horizontal="center" vertical="bottom" textRotation="0" wrapText="0" indent="0" justifyLastLine="0" shrinkToFit="0" readingOrder="0"/>
    </dxf>
    <dxf>
      <font>
        <strike val="0"/>
        <outline val="0"/>
        <shadow val="0"/>
        <u val="none"/>
        <vertAlign val="baseline"/>
        <sz val="12"/>
        <color theme="1"/>
        <name val="Calibri"/>
        <family val="2"/>
        <scheme val="minor"/>
      </font>
      <alignment horizontal="center" textRotation="0" indent="0" justifyLastLine="0" shrinkToFit="0" readingOrder="0"/>
    </dxf>
    <dxf>
      <font>
        <strike val="0"/>
        <outline val="0"/>
        <shadow val="0"/>
        <u val="none"/>
        <vertAlign val="baseline"/>
        <sz val="12"/>
        <color theme="1"/>
        <name val="Calibri"/>
        <family val="2"/>
        <scheme val="minor"/>
      </font>
      <alignment horizontal="center" vertical="center" textRotation="0" wrapText="0" indent="0" justifyLastLine="0" shrinkToFit="0" readingOrder="0"/>
    </dxf>
    <dxf>
      <font>
        <strike val="0"/>
        <outline val="0"/>
        <shadow val="0"/>
        <u val="none"/>
        <vertAlign val="baseline"/>
        <sz val="12"/>
        <color theme="1"/>
        <name val="Calibri"/>
        <family val="2"/>
        <scheme val="minor"/>
      </font>
      <alignment horizontal="center" textRotation="0" indent="0" justifyLastLine="0" shrinkToFit="0" readingOrder="0"/>
    </dxf>
    <dxf>
      <font>
        <strike val="0"/>
        <outline val="0"/>
        <shadow val="0"/>
        <u val="none"/>
        <vertAlign val="baseline"/>
        <sz val="14"/>
        <color theme="1"/>
        <name val="Calibri"/>
        <family val="2"/>
        <scheme val="minor"/>
      </font>
      <alignment horizontal="center" vertical="center" textRotation="0" wrapText="1" indent="0" justifyLastLine="0" shrinkToFit="0" readingOrder="0"/>
    </dxf>
    <dxf>
      <font>
        <strike val="0"/>
        <outline val="0"/>
        <shadow val="0"/>
        <u val="none"/>
        <vertAlign val="baseline"/>
        <sz val="12"/>
        <color theme="1"/>
        <name val="Calibri"/>
        <family val="2"/>
        <scheme val="minor"/>
      </font>
      <alignment horizontal="center" vertical="center" textRotation="0" wrapText="0" indent="0" justifyLastLine="0" shrinkToFit="0" readingOrder="0"/>
    </dxf>
    <dxf>
      <font>
        <strike val="0"/>
        <outline val="0"/>
        <shadow val="0"/>
        <u val="none"/>
        <vertAlign val="baseline"/>
        <sz val="12"/>
        <color theme="1"/>
        <name val="Calibri"/>
        <family val="2"/>
        <scheme val="minor"/>
      </font>
      <alignment horizontal="center" vertical="center" textRotation="0" wrapText="0" indent="0" justifyLastLine="0" shrinkToFit="0" readingOrder="0"/>
    </dxf>
    <dxf>
      <font>
        <strike val="0"/>
        <outline val="0"/>
        <shadow val="0"/>
        <u val="none"/>
        <vertAlign val="baseline"/>
        <sz val="12"/>
        <color theme="1"/>
        <name val="Calibri"/>
        <family val="2"/>
        <scheme val="minor"/>
      </font>
      <numFmt numFmtId="0" formatCode="General"/>
      <alignment horizontal="center" vertical="center" textRotation="0" wrapText="0" indent="0" justifyLastLine="0" shrinkToFit="0" readingOrder="0"/>
    </dxf>
    <dxf>
      <font>
        <strike val="0"/>
        <outline val="0"/>
        <shadow val="0"/>
        <u val="none"/>
        <vertAlign val="baseline"/>
        <sz val="12"/>
        <color theme="1"/>
        <name val="Calibri"/>
        <family val="2"/>
        <scheme val="minor"/>
      </font>
      <fill>
        <patternFill patternType="solid">
          <fgColor indexed="64"/>
          <bgColor theme="9" tint="0.79998168889431442"/>
        </patternFill>
      </fill>
      <alignment horizontal="center" vertical="center" textRotation="0" wrapText="0" indent="0" justifyLastLine="0" shrinkToFit="0" readingOrder="0"/>
    </dxf>
    <dxf>
      <font>
        <strike val="0"/>
        <outline val="0"/>
        <shadow val="0"/>
        <u val="none"/>
        <vertAlign val="baseline"/>
        <sz val="12"/>
        <color theme="1"/>
        <name val="Calibri"/>
        <family val="2"/>
        <scheme val="minor"/>
      </font>
      <alignment horizontal="center" vertical="center" textRotation="0" wrapText="0" indent="0" justifyLastLine="0" shrinkToFit="0" readingOrder="0"/>
    </dxf>
    <dxf>
      <font>
        <strike val="0"/>
        <outline val="0"/>
        <shadow val="0"/>
        <u val="none"/>
        <vertAlign val="baseline"/>
        <sz val="12"/>
        <color theme="1"/>
        <name val="Calibri"/>
        <family val="2"/>
        <scheme val="minor"/>
      </font>
      <alignment horizontal="center" vertical="center" textRotation="0" wrapText="0" indent="0" justifyLastLine="0" shrinkToFit="0" readingOrder="0"/>
    </dxf>
    <dxf>
      <font>
        <strike val="0"/>
        <outline val="0"/>
        <shadow val="0"/>
        <u val="none"/>
        <vertAlign val="baseline"/>
        <sz val="14"/>
        <color theme="1"/>
        <name val="Calibri"/>
        <family val="2"/>
        <scheme val="minor"/>
      </font>
      <alignment horizontal="center" vertical="center" textRotation="0" wrapText="0" indent="0" justifyLastLine="0" shrinkToFit="0" readingOrder="0"/>
    </dxf>
    <dxf>
      <font>
        <strike val="0"/>
        <outline val="0"/>
        <shadow val="0"/>
        <u val="none"/>
        <vertAlign val="baseline"/>
        <sz val="12"/>
        <color theme="1"/>
        <name val="Calibri"/>
        <family val="2"/>
        <scheme val="minor"/>
      </font>
      <alignment horizontal="left" vertical="center" textRotation="0" wrapText="0" indent="0" justifyLastLine="0" shrinkToFit="0" readingOrder="0"/>
    </dxf>
    <dxf>
      <font>
        <strike val="0"/>
        <outline val="0"/>
        <shadow val="0"/>
        <u val="none"/>
        <vertAlign val="baseline"/>
        <sz val="12"/>
        <color theme="1"/>
        <name val="Calibri"/>
        <family val="2"/>
        <scheme val="minor"/>
      </font>
      <alignment horizontal="center" vertical="center" textRotation="0" wrapText="0" indent="0" justifyLastLine="0" shrinkToFit="0" readingOrder="0"/>
    </dxf>
    <dxf>
      <font>
        <strike val="0"/>
        <outline val="0"/>
        <shadow val="0"/>
        <u val="none"/>
        <vertAlign val="baseline"/>
        <sz val="12"/>
        <color theme="1"/>
        <name val="Calibri"/>
        <family val="2"/>
        <scheme val="minor"/>
      </font>
      <alignment horizontal="center" vertical="center" textRotation="0" wrapText="0" indent="0" justifyLastLine="0" shrinkToFit="0" readingOrder="0"/>
    </dxf>
    <dxf>
      <font>
        <strike val="0"/>
        <outline val="0"/>
        <shadow val="0"/>
        <u val="none"/>
        <vertAlign val="baseline"/>
        <sz val="12"/>
        <color theme="1"/>
        <name val="Calibri"/>
        <family val="2"/>
        <scheme val="minor"/>
      </font>
      <alignment horizontal="center" vertical="center" textRotation="0" wrapText="0" indent="0" justifyLastLine="0" shrinkToFit="0" readingOrder="0"/>
    </dxf>
    <dxf>
      <font>
        <strike val="0"/>
        <outline val="0"/>
        <shadow val="0"/>
        <u val="none"/>
        <vertAlign val="baseline"/>
        <sz val="12"/>
        <color theme="1"/>
        <name val="Calibri"/>
        <family val="2"/>
        <scheme val="minor"/>
      </font>
      <alignment horizontal="center" vertical="center" textRotation="0" wrapText="0" indent="0" justifyLastLine="0" shrinkToFit="0" readingOrder="0"/>
    </dxf>
    <dxf>
      <font>
        <strike val="0"/>
        <outline val="0"/>
        <shadow val="0"/>
        <u val="none"/>
        <vertAlign val="baseline"/>
        <sz val="12"/>
        <color theme="1"/>
        <name val="Calibri"/>
        <family val="2"/>
        <scheme val="minor"/>
      </font>
      <alignment horizontal="center" vertical="center" textRotation="0" wrapText="0" indent="0" justifyLastLine="0" shrinkToFit="0" readingOrder="0"/>
    </dxf>
    <dxf>
      <font>
        <strike val="0"/>
        <outline val="0"/>
        <shadow val="0"/>
        <u val="none"/>
        <vertAlign val="baseline"/>
        <sz val="12"/>
        <color theme="1"/>
        <name val="Calibri"/>
        <family val="2"/>
        <scheme val="minor"/>
      </font>
      <alignment horizontal="center" vertical="center" textRotation="0" wrapText="0" indent="0" justifyLastLine="0" shrinkToFit="0" readingOrder="0"/>
    </dxf>
    <dxf>
      <font>
        <strike val="0"/>
        <outline val="0"/>
        <shadow val="0"/>
        <u val="none"/>
        <vertAlign val="baseline"/>
        <sz val="12"/>
        <color theme="1"/>
        <name val="Calibri"/>
        <family val="2"/>
        <scheme val="minor"/>
      </font>
      <alignment horizontal="center" vertical="center" textRotation="0" wrapText="0" indent="0" justifyLastLine="0" shrinkToFit="0" readingOrder="0"/>
    </dxf>
    <dxf>
      <font>
        <strike val="0"/>
        <outline val="0"/>
        <shadow val="0"/>
        <u val="none"/>
        <vertAlign val="baseline"/>
        <sz val="12"/>
        <color theme="1"/>
        <name val="Calibri"/>
        <family val="2"/>
        <scheme val="minor"/>
      </font>
      <alignment horizontal="center" vertical="center" textRotation="0" wrapText="0" indent="0" justifyLastLine="0" shrinkToFit="0" readingOrder="0"/>
    </dxf>
    <dxf>
      <font>
        <strike val="0"/>
        <outline val="0"/>
        <shadow val="0"/>
        <u val="none"/>
        <vertAlign val="baseline"/>
        <sz val="12"/>
        <color theme="1"/>
        <name val="Calibri"/>
        <family val="2"/>
        <scheme val="minor"/>
      </font>
      <alignment horizontal="center" vertical="center" textRotation="0" wrapText="0" indent="0" justifyLastLine="0" shrinkToFit="0" readingOrder="0"/>
    </dxf>
    <dxf>
      <font>
        <strike val="0"/>
        <outline val="0"/>
        <shadow val="0"/>
        <u val="none"/>
        <vertAlign val="baseline"/>
        <sz val="12"/>
        <color theme="1"/>
        <name val="Calibri"/>
        <family val="2"/>
        <scheme val="minor"/>
      </font>
      <alignment horizontal="center" vertical="center" textRotation="0" wrapText="0" indent="0" justifyLastLine="0" shrinkToFit="0" readingOrder="0"/>
    </dxf>
    <dxf>
      <font>
        <b/>
        <i val="0"/>
        <strike val="0"/>
        <condense val="0"/>
        <extend val="0"/>
        <outline val="0"/>
        <shadow val="0"/>
        <u val="none"/>
        <vertAlign val="baseline"/>
        <sz val="14"/>
        <color theme="0"/>
        <name val="Calibri"/>
        <family val="2"/>
        <scheme val="minor"/>
      </font>
      <fill>
        <patternFill patternType="solid">
          <fgColor theme="9"/>
          <bgColor theme="9"/>
        </patternFill>
      </fill>
      <alignment horizontal="center" vertical="center" textRotation="0" wrapText="1" indent="0" justifyLastLine="0" shrinkToFit="0" readingOrder="0"/>
    </dxf>
    <dxf>
      <font>
        <strike val="0"/>
        <outline val="0"/>
        <shadow val="0"/>
        <vertAlign val="baseline"/>
        <sz val="12"/>
        <name val="Calibri"/>
        <family val="2"/>
        <scheme val="minor"/>
      </font>
      <alignment horizontal="center" vertical="center" textRotation="0" wrapText="0" indent="0" justifyLastLine="0" shrinkToFit="0" readingOrder="0"/>
    </dxf>
    <dxf>
      <font>
        <strike val="0"/>
        <outline val="0"/>
        <shadow val="0"/>
        <vertAlign val="baseline"/>
        <sz val="12"/>
        <name val="Calibri"/>
        <family val="2"/>
        <scheme val="minor"/>
      </font>
      <alignment horizontal="center" vertical="center" textRotation="0" wrapText="0" indent="0" justifyLastLine="0" shrinkToFit="0" readingOrder="0"/>
    </dxf>
    <dxf>
      <font>
        <strike val="0"/>
        <outline val="0"/>
        <shadow val="0"/>
        <vertAlign val="baseline"/>
        <sz val="12"/>
        <name val="Calibri"/>
        <family val="2"/>
        <scheme val="minor"/>
      </font>
      <alignment horizontal="center" vertical="center" textRotation="0" wrapText="0" indent="0" justifyLastLine="0" shrinkToFit="0" readingOrder="0"/>
    </dxf>
    <dxf>
      <font>
        <strike val="0"/>
        <outline val="0"/>
        <shadow val="0"/>
        <vertAlign val="baseline"/>
        <sz val="12"/>
        <name val="Calibri"/>
        <family val="2"/>
        <scheme val="minor"/>
      </font>
      <alignment horizontal="center" vertical="center" textRotation="0" wrapText="0" indent="0" justifyLastLine="0" shrinkToFit="0" readingOrder="0"/>
    </dxf>
    <dxf>
      <font>
        <strike val="0"/>
        <outline val="0"/>
        <shadow val="0"/>
        <vertAlign val="baseline"/>
        <sz val="12"/>
        <name val="Calibri"/>
        <family val="2"/>
        <scheme val="minor"/>
      </font>
      <alignment horizontal="center" vertical="center" textRotation="0" wrapText="0" indent="0" justifyLastLine="0" shrinkToFit="0" readingOrder="0"/>
    </dxf>
    <dxf>
      <font>
        <strike val="0"/>
        <outline val="0"/>
        <shadow val="0"/>
        <vertAlign val="baseline"/>
        <sz val="12"/>
        <name val="Calibri"/>
        <family val="2"/>
        <scheme val="minor"/>
      </font>
      <alignment horizontal="center" vertical="center" textRotation="0" wrapText="0" indent="0" justifyLastLine="0" shrinkToFit="0" readingOrder="0"/>
    </dxf>
    <dxf>
      <font>
        <strike val="0"/>
        <outline val="0"/>
        <shadow val="0"/>
        <vertAlign val="baseline"/>
        <sz val="12"/>
        <name val="Calibri"/>
        <family val="2"/>
        <scheme val="minor"/>
      </font>
      <alignment horizontal="center" vertical="center" textRotation="0" wrapText="0" indent="0" justifyLastLine="0" shrinkToFit="0" readingOrder="0"/>
    </dxf>
    <dxf>
      <font>
        <strike val="0"/>
        <outline val="0"/>
        <shadow val="0"/>
        <vertAlign val="baseline"/>
        <sz val="12"/>
        <name val="Calibri"/>
        <family val="2"/>
        <scheme val="minor"/>
      </font>
      <alignment horizontal="center" vertical="center" textRotation="0" wrapText="0" indent="0" justifyLastLine="0" shrinkToFit="0" readingOrder="0"/>
    </dxf>
    <dxf>
      <font>
        <strike val="0"/>
        <outline val="0"/>
        <shadow val="0"/>
        <vertAlign val="baseline"/>
        <sz val="12"/>
        <name val="Calibri"/>
        <family val="2"/>
        <scheme val="minor"/>
      </font>
      <alignment horizontal="center" vertical="center" textRotation="0" wrapText="0" indent="0" justifyLastLine="0" shrinkToFit="0" readingOrder="0"/>
    </dxf>
    <dxf>
      <font>
        <strike val="0"/>
        <outline val="0"/>
        <shadow val="0"/>
        <vertAlign val="baseline"/>
        <sz val="12"/>
        <name val="Calibri"/>
        <family val="2"/>
        <scheme val="minor"/>
      </font>
      <alignment horizontal="center" vertical="center" textRotation="0" wrapText="0" indent="0" justifyLastLine="0" shrinkToFit="0" readingOrder="0"/>
    </dxf>
    <dxf>
      <font>
        <strike val="0"/>
        <outline val="0"/>
        <shadow val="0"/>
        <vertAlign val="baseline"/>
        <sz val="12"/>
        <name val="Calibri"/>
        <family val="2"/>
        <scheme val="minor"/>
      </font>
      <alignment horizontal="center" vertical="center" textRotation="0" wrapText="0" indent="0" justifyLastLine="0" shrinkToFit="0" readingOrder="0"/>
    </dxf>
    <dxf>
      <font>
        <strike val="0"/>
        <outline val="0"/>
        <shadow val="0"/>
        <u val="none"/>
        <vertAlign val="baseline"/>
        <sz val="14"/>
        <color theme="1"/>
        <name val="Calibri"/>
        <family val="2"/>
        <scheme val="minor"/>
      </font>
      <alignment horizontal="center" vertical="center" textRotation="0" wrapText="1" indent="0" justifyLastLine="0" shrinkToFit="0" readingOrder="0"/>
    </dxf>
    <dxf>
      <font>
        <strike val="0"/>
        <outline val="0"/>
        <shadow val="0"/>
        <u val="none"/>
        <vertAlign val="baseline"/>
        <sz val="12"/>
        <color theme="1"/>
        <name val="Calibri"/>
        <family val="2"/>
        <scheme val="minor"/>
      </font>
      <fill>
        <patternFill patternType="none">
          <fgColor indexed="64"/>
          <bgColor indexed="65"/>
        </patternFill>
      </fill>
      <alignment horizontal="left" vertical="center" textRotation="0" wrapText="0" indent="0" justifyLastLine="0" shrinkToFit="0" readingOrder="0"/>
    </dxf>
    <dxf>
      <font>
        <strike val="0"/>
        <outline val="0"/>
        <shadow val="0"/>
        <u val="none"/>
        <vertAlign val="baseline"/>
        <sz val="12"/>
        <color theme="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fill>
        <patternFill patternType="none">
          <fgColor indexed="64"/>
          <bgColor auto="1"/>
        </patternFill>
      </fill>
      <alignment horizontal="center" vertical="center" textRotation="0" indent="0" justifyLastLine="0" shrinkToFit="0" readingOrder="0"/>
      <border diagonalUp="0" diagonalDown="0" outline="0">
        <left style="thin">
          <color theme="9"/>
        </left>
        <right/>
        <top style="thin">
          <color theme="9"/>
        </top>
        <bottom style="thin">
          <color theme="9"/>
        </bottom>
      </border>
    </dxf>
    <dxf>
      <font>
        <b val="0"/>
        <i val="0"/>
        <strike val="0"/>
        <condense val="0"/>
        <extend val="0"/>
        <outline val="0"/>
        <shadow val="0"/>
        <u val="none"/>
        <vertAlign val="baseline"/>
        <sz val="12"/>
        <color theme="1"/>
        <name val="Calibri"/>
        <family val="2"/>
        <scheme val="minor"/>
      </font>
      <fill>
        <patternFill patternType="none">
          <fgColor indexed="64"/>
          <bgColor auto="1"/>
        </patternFill>
      </fill>
      <alignment horizontal="center" vertical="center" textRotation="0" indent="0" justifyLastLine="0" shrinkToFit="0" readingOrder="0"/>
      <border diagonalUp="0" diagonalDown="0" outline="0">
        <left style="thin">
          <color theme="9"/>
        </left>
        <right style="thin">
          <color theme="9"/>
        </right>
        <top style="thin">
          <color theme="9"/>
        </top>
        <bottom style="thin">
          <color theme="9"/>
        </bottom>
      </border>
    </dxf>
    <dxf>
      <font>
        <strike val="0"/>
        <outline val="0"/>
        <shadow val="0"/>
        <u val="none"/>
        <vertAlign val="baseline"/>
        <sz val="12"/>
        <color theme="1"/>
        <name val="Calibri"/>
        <family val="2"/>
        <scheme val="minor"/>
      </font>
      <fill>
        <patternFill patternType="none">
          <fgColor indexed="64"/>
          <bgColor auto="1"/>
        </patternFill>
      </fill>
      <alignment horizontal="center" vertical="center" textRotation="0" wrapText="0" indent="0" justifyLastLine="0" shrinkToFit="0" readingOrder="0"/>
    </dxf>
    <dxf>
      <font>
        <strike val="0"/>
        <outline val="0"/>
        <shadow val="0"/>
        <u val="none"/>
        <vertAlign val="baseline"/>
        <sz val="12"/>
        <color theme="1"/>
        <name val="Calibri"/>
        <family val="2"/>
        <scheme val="minor"/>
      </font>
      <alignment horizontal="center" vertical="center" textRotation="0" indent="0" justifyLastLine="0" shrinkToFit="0" readingOrder="0"/>
    </dxf>
    <dxf>
      <font>
        <strike val="0"/>
        <outline val="0"/>
        <shadow val="0"/>
        <u val="none"/>
        <vertAlign val="baseline"/>
        <sz val="12"/>
        <color theme="1"/>
        <name val="Calibri"/>
        <family val="2"/>
        <scheme val="minor"/>
      </font>
      <alignment horizontal="center" vertical="center" textRotation="0" indent="0" justifyLastLine="0" shrinkToFit="0" readingOrder="0"/>
    </dxf>
    <dxf>
      <font>
        <strike val="0"/>
        <outline val="0"/>
        <shadow val="0"/>
        <u val="none"/>
        <vertAlign val="baseline"/>
        <sz val="12"/>
        <color theme="1"/>
        <name val="Calibri"/>
        <family val="2"/>
        <scheme val="minor"/>
      </font>
      <alignment horizontal="center" vertical="center" textRotation="0" indent="0" justifyLastLine="0" shrinkToFit="0" readingOrder="0"/>
    </dxf>
    <dxf>
      <font>
        <strike val="0"/>
        <outline val="0"/>
        <shadow val="0"/>
        <u val="none"/>
        <vertAlign val="baseline"/>
        <sz val="12"/>
        <color theme="1"/>
        <name val="Calibri"/>
        <family val="2"/>
        <scheme val="minor"/>
      </font>
      <fill>
        <patternFill patternType="solid">
          <fgColor indexed="64"/>
          <bgColor theme="9" tint="0.79998168889431442"/>
        </patternFill>
      </fill>
      <alignment horizontal="center" vertical="center" textRotation="0" indent="0" justifyLastLine="0" shrinkToFit="0" readingOrder="0"/>
    </dxf>
    <dxf>
      <font>
        <strike val="0"/>
        <outline val="0"/>
        <shadow val="0"/>
        <u val="none"/>
        <vertAlign val="baseline"/>
        <sz val="12"/>
        <color theme="1"/>
        <name val="Calibri"/>
        <family val="2"/>
        <scheme val="minor"/>
      </font>
      <alignment horizontal="center" vertical="center" textRotation="0" indent="0" justifyLastLine="0" shrinkToFit="0" readingOrder="0"/>
    </dxf>
    <dxf>
      <border outline="0">
        <right style="thin">
          <color theme="9"/>
        </right>
        <top style="thin">
          <color theme="9"/>
        </top>
      </border>
    </dxf>
    <dxf>
      <font>
        <strike val="0"/>
        <outline val="0"/>
        <shadow val="0"/>
        <u val="none"/>
        <vertAlign val="baseline"/>
        <sz val="12"/>
        <color theme="1"/>
        <name val="Calibri"/>
        <family val="2"/>
        <scheme val="minor"/>
      </font>
      <alignment horizontal="center" vertical="center" textRotation="0" indent="0" justifyLastLine="0" shrinkToFit="0" readingOrder="0"/>
    </dxf>
    <dxf>
      <border outline="0">
        <bottom style="medium">
          <color theme="9"/>
        </bottom>
      </border>
    </dxf>
    <dxf>
      <font>
        <b/>
        <i val="0"/>
        <strike val="0"/>
        <condense val="0"/>
        <extend val="0"/>
        <outline val="0"/>
        <shadow val="0"/>
        <u val="none"/>
        <vertAlign val="baseline"/>
        <sz val="14"/>
        <color theme="1"/>
        <name val="Calibri"/>
        <family val="2"/>
        <scheme val="minor"/>
      </font>
      <alignment horizontal="center" vertical="center" textRotation="0" indent="0" justifyLastLine="0" shrinkToFit="0" readingOrder="0"/>
      <border diagonalUp="0" diagonalDown="0" outline="0">
        <left style="thin">
          <color theme="9"/>
        </left>
        <right style="thin">
          <color theme="9"/>
        </right>
        <top/>
        <bottom/>
      </border>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border diagonalUp="0" diagonalDown="0">
        <left style="thin">
          <color theme="9"/>
        </left>
        <right/>
        <top style="thin">
          <color theme="9"/>
        </top>
        <bottom/>
        <vertical/>
        <horizontal/>
      </border>
    </dxf>
    <dxf>
      <alignment horizontal="center" vertical="center" textRotation="0" wrapText="0" indent="0" justifyLastLine="0" shrinkToFit="0" readingOrder="0"/>
    </dxf>
    <dxf>
      <alignment horizontal="center" vertical="center" textRotation="0" wrapText="0" indent="0" justifyLastLine="0" shrinkToFit="0" readingOrder="0"/>
    </dxf>
    <dxf>
      <numFmt numFmtId="0" formatCode="General"/>
      <alignment horizontal="center" vertical="center" textRotation="0" indent="0" justifyLastLine="0" shrinkToFit="0" readingOrder="0"/>
    </dxf>
    <dxf>
      <numFmt numFmtId="0" formatCode="General"/>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fill>
        <patternFill patternType="solid">
          <fgColor indexed="64"/>
          <bgColor theme="9" tint="0.79998168889431442"/>
        </patternFill>
      </fill>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wrapText="1"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theme="8" tint="0.59999389629810485"/>
        </patternFill>
      </fill>
      <border diagonalUp="0" diagonalDown="0" outline="0">
        <left style="thin">
          <color theme="0"/>
        </left>
        <right/>
        <top style="thin">
          <color theme="0"/>
        </top>
        <bottom style="thin">
          <color theme="0"/>
        </bottom>
      </border>
    </dxf>
    <dxf>
      <font>
        <b val="0"/>
        <i val="0"/>
        <strike val="0"/>
        <condense val="0"/>
        <extend val="0"/>
        <outline val="0"/>
        <shadow val="0"/>
        <u val="none"/>
        <vertAlign val="baseline"/>
        <sz val="11"/>
        <color theme="1"/>
        <name val="Calibri"/>
        <family val="2"/>
        <scheme val="minor"/>
      </font>
      <border diagonalUp="0" diagonalDown="0" outline="0">
        <left style="thin">
          <color indexed="64"/>
        </left>
        <right/>
        <top/>
        <bottom style="thin">
          <color indexed="64"/>
        </bottom>
      </border>
    </dxf>
    <dxf>
      <font>
        <b val="0"/>
        <i val="0"/>
        <strike val="0"/>
        <condense val="0"/>
        <extend val="0"/>
        <outline val="0"/>
        <shadow val="0"/>
        <u val="none"/>
        <vertAlign val="baseline"/>
        <sz val="11"/>
        <color theme="1"/>
        <name val="Calibri"/>
        <family val="2"/>
        <scheme val="minor"/>
      </font>
      <fill>
        <patternFill patternType="solid">
          <fgColor indexed="64"/>
          <bgColor theme="5" tint="0.59999389629810485"/>
        </patternFill>
      </fill>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1"/>
        <color theme="1"/>
        <name val="Calibri"/>
        <family val="2"/>
        <scheme val="minor"/>
      </font>
      <border diagonalUp="0" diagonalDown="0" outline="0">
        <left style="thin">
          <color auto="1"/>
        </left>
        <right style="thin">
          <color auto="1"/>
        </right>
        <top/>
        <bottom style="thin">
          <color auto="1"/>
        </bottom>
      </border>
    </dxf>
    <dxf>
      <font>
        <b val="0"/>
        <i val="0"/>
        <strike val="0"/>
        <condense val="0"/>
        <extend val="0"/>
        <outline val="0"/>
        <shadow val="0"/>
        <u val="none"/>
        <vertAlign val="baseline"/>
        <sz val="11"/>
        <color theme="1"/>
        <name val="Calibri"/>
        <family val="2"/>
        <scheme val="minor"/>
      </font>
      <fill>
        <patternFill patternType="solid">
          <fgColor indexed="64"/>
          <bgColor theme="5" tint="0.59999389629810485"/>
        </patternFill>
      </fill>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1"/>
        <color theme="1"/>
        <name val="Calibri"/>
        <family val="2"/>
        <scheme val="minor"/>
      </font>
      <border diagonalUp="0" diagonalDown="0" outline="0">
        <left style="thin">
          <color auto="1"/>
        </left>
        <right style="thin">
          <color auto="1"/>
        </right>
        <top/>
        <bottom style="thin">
          <color auto="1"/>
        </bottom>
      </border>
    </dxf>
    <dxf>
      <font>
        <b val="0"/>
        <i val="0"/>
        <strike val="0"/>
        <condense val="0"/>
        <extend val="0"/>
        <outline val="0"/>
        <shadow val="0"/>
        <u val="none"/>
        <vertAlign val="baseline"/>
        <sz val="11"/>
        <color theme="1"/>
        <name val="Calibri"/>
        <family val="2"/>
        <scheme val="minor"/>
      </font>
      <numFmt numFmtId="173" formatCode="0.000"/>
      <fill>
        <patternFill patternType="solid">
          <fgColor indexed="64"/>
          <bgColor theme="0" tint="-0.14999847407452621"/>
        </patternFill>
      </fill>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1"/>
        <color theme="1"/>
        <name val="Calibri"/>
        <family val="2"/>
        <scheme val="minor"/>
      </font>
      <border diagonalUp="0" diagonalDown="0" outline="0">
        <left style="thin">
          <color auto="1"/>
        </left>
        <right style="thin">
          <color auto="1"/>
        </right>
        <top/>
        <bottom style="thin">
          <color auto="1"/>
        </bottom>
      </border>
    </dxf>
    <dxf>
      <font>
        <b val="0"/>
        <i val="0"/>
        <strike val="0"/>
        <condense val="0"/>
        <extend val="0"/>
        <outline val="0"/>
        <shadow val="0"/>
        <u val="none"/>
        <vertAlign val="baseline"/>
        <sz val="11"/>
        <color theme="1"/>
        <name val="Calibri"/>
        <family val="2"/>
        <scheme val="minor"/>
      </font>
      <fill>
        <patternFill patternType="solid">
          <fgColor indexed="64"/>
          <bgColor theme="8" tint="0.59999389629810485"/>
        </patternFill>
      </fill>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1"/>
        <color theme="1"/>
        <name val="Calibri"/>
        <family val="2"/>
        <scheme val="minor"/>
      </font>
      <border diagonalUp="0" diagonalDown="0" outline="0">
        <left style="thin">
          <color auto="1"/>
        </left>
        <right style="thin">
          <color auto="1"/>
        </right>
        <top/>
        <bottom style="thin">
          <color auto="1"/>
        </bottom>
      </border>
    </dxf>
    <dxf>
      <font>
        <b val="0"/>
        <i val="0"/>
        <strike val="0"/>
        <condense val="0"/>
        <extend val="0"/>
        <outline val="0"/>
        <shadow val="0"/>
        <u val="none"/>
        <vertAlign val="baseline"/>
        <sz val="11"/>
        <color theme="1"/>
        <name val="Calibri"/>
        <family val="2"/>
        <scheme val="minor"/>
      </font>
      <fill>
        <patternFill patternType="solid">
          <fgColor indexed="64"/>
          <bgColor theme="8" tint="0.59999389629810485"/>
        </patternFill>
      </fill>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1"/>
        <color theme="1"/>
        <name val="Calibri"/>
        <family val="2"/>
        <scheme val="minor"/>
      </font>
      <border diagonalUp="0" diagonalDown="0" outline="0">
        <left style="thin">
          <color auto="1"/>
        </left>
        <right style="thin">
          <color auto="1"/>
        </right>
        <top/>
        <bottom style="thin">
          <color auto="1"/>
        </bottom>
      </border>
    </dxf>
    <dxf>
      <font>
        <b val="0"/>
        <i val="0"/>
        <strike val="0"/>
        <condense val="0"/>
        <extend val="0"/>
        <outline val="0"/>
        <shadow val="0"/>
        <u val="none"/>
        <vertAlign val="baseline"/>
        <sz val="11"/>
        <color theme="1"/>
        <name val="Calibri"/>
        <family val="2"/>
        <scheme val="minor"/>
      </font>
      <fill>
        <patternFill patternType="solid">
          <fgColor indexed="64"/>
          <bgColor theme="8" tint="0.59999389629810485"/>
        </patternFill>
      </fill>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1"/>
        <color theme="1"/>
        <name val="Calibri"/>
        <family val="2"/>
        <scheme val="minor"/>
      </font>
      <border diagonalUp="0" diagonalDown="0" outline="0">
        <left style="thin">
          <color auto="1"/>
        </left>
        <right style="thin">
          <color auto="1"/>
        </right>
        <top/>
        <bottom style="thin">
          <color auto="1"/>
        </bottom>
      </border>
    </dxf>
    <dxf>
      <font>
        <b val="0"/>
        <i val="0"/>
        <strike val="0"/>
        <condense val="0"/>
        <extend val="0"/>
        <outline val="0"/>
        <shadow val="0"/>
        <u val="none"/>
        <vertAlign val="baseline"/>
        <sz val="11"/>
        <color theme="1"/>
        <name val="Calibri"/>
        <family val="2"/>
        <scheme val="minor"/>
      </font>
      <fill>
        <patternFill patternType="solid">
          <fgColor indexed="64"/>
          <bgColor theme="8" tint="0.59999389629810485"/>
        </patternFill>
      </fill>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1"/>
        <color theme="1"/>
        <name val="Calibri"/>
        <family val="2"/>
        <scheme val="minor"/>
      </font>
      <border diagonalUp="0" diagonalDown="0" outline="0">
        <left style="thin">
          <color auto="1"/>
        </left>
        <right style="thin">
          <color auto="1"/>
        </right>
        <top/>
        <bottom style="thin">
          <color auto="1"/>
        </bottom>
      </border>
    </dxf>
    <dxf>
      <font>
        <b val="0"/>
        <i val="0"/>
        <strike val="0"/>
        <condense val="0"/>
        <extend val="0"/>
        <outline val="0"/>
        <shadow val="0"/>
        <u val="none"/>
        <vertAlign val="baseline"/>
        <sz val="11"/>
        <color theme="1"/>
        <name val="Calibri"/>
        <family val="2"/>
        <scheme val="minor"/>
      </font>
      <fill>
        <patternFill patternType="solid">
          <fgColor indexed="64"/>
          <bgColor theme="8" tint="0.59999389629810485"/>
        </patternFill>
      </fill>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1"/>
        <color theme="1"/>
        <name val="Calibri"/>
        <family val="2"/>
        <scheme val="minor"/>
      </font>
      <border diagonalUp="0" diagonalDown="0" outline="0">
        <left style="thin">
          <color auto="1"/>
        </left>
        <right style="thin">
          <color auto="1"/>
        </right>
        <top/>
        <bottom style="thin">
          <color auto="1"/>
        </bottom>
      </border>
    </dxf>
    <dxf>
      <font>
        <b val="0"/>
        <i val="0"/>
        <strike val="0"/>
        <condense val="0"/>
        <extend val="0"/>
        <outline val="0"/>
        <shadow val="0"/>
        <u val="none"/>
        <vertAlign val="baseline"/>
        <sz val="11"/>
        <color theme="1"/>
        <name val="Calibri"/>
        <family val="2"/>
        <scheme val="minor"/>
      </font>
      <fill>
        <patternFill patternType="solid">
          <fgColor indexed="64"/>
          <bgColor theme="5" tint="0.59999389629810485"/>
        </patternFill>
      </fill>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1"/>
        <color theme="1"/>
        <name val="Calibri"/>
        <family val="2"/>
        <scheme val="minor"/>
      </font>
      <border diagonalUp="0" diagonalDown="0" outline="0">
        <left style="thin">
          <color auto="1"/>
        </left>
        <right style="thin">
          <color auto="1"/>
        </right>
        <top/>
        <bottom style="thin">
          <color auto="1"/>
        </bottom>
      </border>
    </dxf>
    <dxf>
      <font>
        <b val="0"/>
        <i val="0"/>
        <strike val="0"/>
        <condense val="0"/>
        <extend val="0"/>
        <outline val="0"/>
        <shadow val="0"/>
        <u val="none"/>
        <vertAlign val="baseline"/>
        <sz val="11"/>
        <color theme="1"/>
        <name val="Calibri"/>
        <family val="2"/>
        <scheme val="minor"/>
      </font>
      <fill>
        <patternFill patternType="solid">
          <fgColor indexed="64"/>
          <bgColor theme="5" tint="0.59999389629810485"/>
        </patternFill>
      </fill>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1"/>
        <color theme="1"/>
        <name val="Calibri"/>
        <family val="2"/>
        <scheme val="minor"/>
      </font>
      <border diagonalUp="0" diagonalDown="0" outline="0">
        <left style="thin">
          <color auto="1"/>
        </left>
        <right style="thin">
          <color auto="1"/>
        </right>
        <top/>
        <bottom style="thin">
          <color auto="1"/>
        </bottom>
      </border>
    </dxf>
    <dxf>
      <font>
        <b val="0"/>
        <i val="0"/>
        <strike val="0"/>
        <condense val="0"/>
        <extend val="0"/>
        <outline val="0"/>
        <shadow val="0"/>
        <u val="none"/>
        <vertAlign val="baseline"/>
        <sz val="11"/>
        <color theme="1"/>
        <name val="Calibri"/>
        <family val="2"/>
        <scheme val="minor"/>
      </font>
      <fill>
        <patternFill patternType="solid">
          <fgColor indexed="64"/>
          <bgColor theme="8" tint="0.59999389629810485"/>
        </patternFill>
      </fill>
      <border diagonalUp="0" diagonalDown="0" outline="0">
        <left/>
        <right style="thin">
          <color theme="0"/>
        </right>
        <top style="thin">
          <color theme="0"/>
        </top>
        <bottom style="thin">
          <color theme="0"/>
        </bottom>
      </border>
    </dxf>
    <dxf>
      <font>
        <b val="0"/>
        <i val="0"/>
        <strike val="0"/>
        <condense val="0"/>
        <extend val="0"/>
        <outline val="0"/>
        <shadow val="0"/>
        <u val="none"/>
        <vertAlign val="baseline"/>
        <sz val="11"/>
        <color theme="1"/>
        <name val="Calibri"/>
        <family val="2"/>
        <scheme val="minor"/>
      </font>
      <border diagonalUp="0" diagonalDown="0" outline="0">
        <left/>
        <right style="thin">
          <color indexed="64"/>
        </right>
        <top/>
        <bottom style="thin">
          <color indexed="64"/>
        </bottom>
      </border>
    </dxf>
    <dxf>
      <border>
        <top style="thin">
          <color theme="0"/>
        </top>
      </border>
    </dxf>
    <dxf>
      <border diagonalUp="0" diagonalDown="0">
        <left style="thin">
          <color theme="0"/>
        </left>
        <right style="thin">
          <color theme="0"/>
        </right>
        <top style="thin">
          <color theme="0"/>
        </top>
        <bottom style="thin">
          <color theme="0"/>
        </bottom>
      </border>
    </dxf>
    <dxf>
      <font>
        <b val="0"/>
        <i val="0"/>
        <strike val="0"/>
        <condense val="0"/>
        <extend val="0"/>
        <outline val="0"/>
        <shadow val="0"/>
        <u val="none"/>
        <vertAlign val="baseline"/>
        <sz val="11"/>
        <color theme="1"/>
        <name val="Calibri"/>
        <family val="2"/>
        <scheme val="minor"/>
      </font>
    </dxf>
    <dxf>
      <border outline="0">
        <bottom style="thin">
          <color indexed="64"/>
        </bottom>
      </border>
    </dxf>
    <dxf>
      <font>
        <b val="0"/>
        <i val="0"/>
        <strike val="0"/>
        <condense val="0"/>
        <extend val="0"/>
        <outline val="0"/>
        <shadow val="0"/>
        <u val="none"/>
        <vertAlign val="baseline"/>
        <sz val="11"/>
        <color theme="1"/>
        <name val="Calibri"/>
        <family val="2"/>
        <scheme val="minor"/>
      </font>
      <border diagonalUp="0" diagonalDown="0" outline="0">
        <left style="thin">
          <color theme="0"/>
        </left>
        <right style="thin">
          <color theme="0"/>
        </right>
        <top/>
        <bottom/>
      </border>
    </dxf>
    <dxf>
      <font>
        <strike val="0"/>
        <outline val="0"/>
        <shadow val="0"/>
        <u val="none"/>
        <vertAlign val="baseline"/>
        <sz val="11"/>
        <color auto="1"/>
        <name val="Calibri"/>
        <family val="2"/>
        <scheme val="minor"/>
      </font>
      <numFmt numFmtId="0" formatCode="General"/>
      <fill>
        <patternFill patternType="solid">
          <fgColor indexed="64"/>
          <bgColor theme="5" tint="0.59999389629810485"/>
        </patternFill>
      </fill>
      <alignment horizontal="center" vertical="bottom" textRotation="0" wrapText="0" indent="0" justifyLastLine="0" shrinkToFit="0" readingOrder="0"/>
      <border diagonalUp="0" diagonalDown="0" outline="0">
        <left style="thin">
          <color theme="0"/>
        </left>
        <right/>
        <top style="thin">
          <color theme="0"/>
        </top>
        <bottom style="thin">
          <color theme="0"/>
        </bottom>
      </border>
    </dxf>
    <dxf>
      <font>
        <strike val="0"/>
        <outline val="0"/>
        <shadow val="0"/>
        <u val="none"/>
        <vertAlign val="baseline"/>
        <sz val="11"/>
        <color auto="1"/>
        <name val="Calibri"/>
        <family val="2"/>
        <scheme val="minor"/>
      </font>
      <fill>
        <patternFill patternType="solid">
          <fgColor indexed="64"/>
          <bgColor theme="8" tint="0.59999389629810485"/>
        </patternFill>
      </fill>
      <alignment horizontal="center" vertical="bottom"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1"/>
        <color auto="1"/>
        <name val="Calibri"/>
        <family val="2"/>
        <scheme val="minor"/>
      </font>
      <fill>
        <patternFill patternType="solid">
          <fgColor indexed="64"/>
          <bgColor theme="8" tint="0.59999389629810485"/>
        </patternFill>
      </fill>
      <border diagonalUp="0" diagonalDown="0" outline="0">
        <left style="thin">
          <color theme="0"/>
        </left>
        <right style="thin">
          <color theme="0"/>
        </right>
        <top style="thin">
          <color theme="0"/>
        </top>
        <bottom style="thin">
          <color theme="0"/>
        </bottom>
      </border>
    </dxf>
    <dxf>
      <font>
        <strike val="0"/>
        <outline val="0"/>
        <shadow val="0"/>
        <u val="none"/>
        <vertAlign val="baseline"/>
        <sz val="11"/>
        <color auto="1"/>
        <name val="Calibri"/>
        <family val="2"/>
        <scheme val="minor"/>
      </font>
      <fill>
        <patternFill patternType="solid">
          <fgColor indexed="64"/>
          <bgColor theme="8" tint="0.59999389629810485"/>
        </patternFill>
      </fill>
      <border diagonalUp="0" diagonalDown="0" outline="0">
        <left style="thin">
          <color theme="0"/>
        </left>
        <right style="thin">
          <color theme="0"/>
        </right>
        <top style="thin">
          <color theme="0"/>
        </top>
        <bottom style="thin">
          <color theme="0"/>
        </bottom>
      </border>
    </dxf>
    <dxf>
      <font>
        <strike val="0"/>
        <outline val="0"/>
        <shadow val="0"/>
        <u val="none"/>
        <vertAlign val="baseline"/>
        <sz val="11"/>
        <color auto="1"/>
        <name val="Calibri"/>
        <family val="2"/>
        <scheme val="minor"/>
      </font>
      <fill>
        <patternFill patternType="solid">
          <fgColor indexed="64"/>
          <bgColor theme="8" tint="0.59999389629810485"/>
        </patternFill>
      </fill>
      <border diagonalUp="0" diagonalDown="0" outline="0">
        <left/>
        <right style="thin">
          <color theme="0"/>
        </right>
        <top style="thin">
          <color theme="0"/>
        </top>
        <bottom style="thin">
          <color theme="0"/>
        </bottom>
      </border>
    </dxf>
    <dxf>
      <border>
        <top style="thin">
          <color theme="0"/>
        </top>
      </border>
    </dxf>
    <dxf>
      <border diagonalUp="0" diagonalDown="0">
        <left style="thin">
          <color theme="0"/>
        </left>
        <right style="thin">
          <color theme="0"/>
        </right>
        <top style="thin">
          <color theme="0"/>
        </top>
        <bottom style="thin">
          <color theme="0"/>
        </bottom>
      </border>
    </dxf>
    <dxf>
      <font>
        <strike val="0"/>
        <outline val="0"/>
        <shadow val="0"/>
        <u val="none"/>
        <vertAlign val="baseline"/>
        <sz val="11"/>
        <color auto="1"/>
        <name val="Calibri"/>
        <family val="2"/>
        <scheme val="minor"/>
      </font>
    </dxf>
    <dxf>
      <border>
        <bottom style="thin">
          <color theme="0"/>
        </bottom>
      </border>
    </dxf>
    <dxf>
      <font>
        <b/>
        <i val="0"/>
        <strike val="0"/>
        <condense val="0"/>
        <extend val="0"/>
        <outline val="0"/>
        <shadow val="0"/>
        <u val="none"/>
        <vertAlign val="baseline"/>
        <sz val="11"/>
        <color theme="0"/>
        <name val="Calibri"/>
        <family val="2"/>
        <scheme val="minor"/>
      </font>
      <fill>
        <patternFill patternType="solid">
          <fgColor indexed="64"/>
          <bgColor rgb="FF008080"/>
        </patternFill>
      </fill>
      <border diagonalUp="0" diagonalDown="0" outline="0">
        <left style="thin">
          <color theme="0"/>
        </left>
        <right style="thin">
          <color theme="0"/>
        </right>
        <top/>
        <bottom/>
      </border>
    </dxf>
  </dxfs>
  <tableStyles count="1" defaultTableStyle="TableStyleMedium2" defaultPivotStyle="PivotStyleLight16">
    <tableStyle name="Invisible" pivot="0" table="0" count="0" xr9:uid="{A0B6CF5B-406F-4A7B-889B-BB2C05644BA1}"/>
  </tableStyles>
  <colors>
    <mruColors>
      <color rgb="FF0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8" Type="http://schemas.openxmlformats.org/officeDocument/2006/relationships/hyperlink" Target="#Parameters!A1"/><Relationship Id="rId13" Type="http://schemas.openxmlformats.org/officeDocument/2006/relationships/hyperlink" Target="#'S3-Transportation'!A1"/><Relationship Id="rId3" Type="http://schemas.openxmlformats.org/officeDocument/2006/relationships/image" Target="../media/image2.jpeg"/><Relationship Id="rId7" Type="http://schemas.openxmlformats.org/officeDocument/2006/relationships/hyperlink" Target="#Introduction!A1"/><Relationship Id="rId12" Type="http://schemas.openxmlformats.org/officeDocument/2006/relationships/hyperlink" Target="#'S2-Purchased Electricity'!A1"/><Relationship Id="rId2" Type="http://schemas.openxmlformats.org/officeDocument/2006/relationships/image" Target="../media/image1.png"/><Relationship Id="rId16" Type="http://schemas.openxmlformats.org/officeDocument/2006/relationships/image" Target="../media/image6.png"/><Relationship Id="rId1" Type="http://schemas.openxmlformats.org/officeDocument/2006/relationships/hyperlink" Target="http://anthesisgroup.com/" TargetMode="External"/><Relationship Id="rId6" Type="http://schemas.openxmlformats.org/officeDocument/2006/relationships/image" Target="../media/image5.svg"/><Relationship Id="rId11" Type="http://schemas.openxmlformats.org/officeDocument/2006/relationships/hyperlink" Target="#'S1-Refrigerants'!A1"/><Relationship Id="rId5" Type="http://schemas.openxmlformats.org/officeDocument/2006/relationships/image" Target="../media/image4.png"/><Relationship Id="rId15" Type="http://schemas.openxmlformats.org/officeDocument/2006/relationships/hyperlink" Target="#'Emission Factors'!A1"/><Relationship Id="rId10" Type="http://schemas.openxmlformats.org/officeDocument/2006/relationships/hyperlink" Target="#'S1-Mobile Combustion'!A1"/><Relationship Id="rId4" Type="http://schemas.openxmlformats.org/officeDocument/2006/relationships/image" Target="../media/image3.png"/><Relationship Id="rId9" Type="http://schemas.openxmlformats.org/officeDocument/2006/relationships/hyperlink" Target="#'S1-Stationary Combustion'!A1"/><Relationship Id="rId14" Type="http://schemas.openxmlformats.org/officeDocument/2006/relationships/hyperlink" Target="#'Results Summary'!A1"/></Relationships>
</file>

<file path=xl/drawings/_rels/drawing2.xml.rels><?xml version="1.0" encoding="UTF-8" standalone="yes"?>
<Relationships xmlns="http://schemas.openxmlformats.org/package/2006/relationships"><Relationship Id="rId8" Type="http://schemas.openxmlformats.org/officeDocument/2006/relationships/hyperlink" Target="#'S2-Purchased Electricity'!A1"/><Relationship Id="rId3" Type="http://schemas.openxmlformats.org/officeDocument/2006/relationships/hyperlink" Target="#Introduction!A1"/><Relationship Id="rId7" Type="http://schemas.openxmlformats.org/officeDocument/2006/relationships/hyperlink" Target="#'S1-Refrigerants'!A1"/><Relationship Id="rId12" Type="http://schemas.openxmlformats.org/officeDocument/2006/relationships/image" Target="../media/image6.png"/><Relationship Id="rId2" Type="http://schemas.openxmlformats.org/officeDocument/2006/relationships/image" Target="../media/image5.svg"/><Relationship Id="rId1" Type="http://schemas.openxmlformats.org/officeDocument/2006/relationships/image" Target="../media/image4.png"/><Relationship Id="rId6" Type="http://schemas.openxmlformats.org/officeDocument/2006/relationships/hyperlink" Target="#'S1-Mobile Combustion'!A1"/><Relationship Id="rId11" Type="http://schemas.openxmlformats.org/officeDocument/2006/relationships/hyperlink" Target="#'Emission Factors'!A1"/><Relationship Id="rId5" Type="http://schemas.openxmlformats.org/officeDocument/2006/relationships/hyperlink" Target="#'S1-Stationary Combustion'!A1"/><Relationship Id="rId10" Type="http://schemas.openxmlformats.org/officeDocument/2006/relationships/hyperlink" Target="#'Results Summary'!A1"/><Relationship Id="rId4" Type="http://schemas.openxmlformats.org/officeDocument/2006/relationships/hyperlink" Target="#Parameters!A1"/><Relationship Id="rId9" Type="http://schemas.openxmlformats.org/officeDocument/2006/relationships/hyperlink" Target="#'S3-Transportation'!A1"/></Relationships>
</file>

<file path=xl/drawings/_rels/drawing3.xml.rels><?xml version="1.0" encoding="UTF-8" standalone="yes"?>
<Relationships xmlns="http://schemas.openxmlformats.org/package/2006/relationships"><Relationship Id="rId8" Type="http://schemas.openxmlformats.org/officeDocument/2006/relationships/hyperlink" Target="#'Results Summary'!A1"/><Relationship Id="rId3" Type="http://schemas.openxmlformats.org/officeDocument/2006/relationships/hyperlink" Target="#'S1-Stationary Combustion'!A1"/><Relationship Id="rId7" Type="http://schemas.openxmlformats.org/officeDocument/2006/relationships/hyperlink" Target="#'S3-Transportation'!A1"/><Relationship Id="rId2" Type="http://schemas.openxmlformats.org/officeDocument/2006/relationships/hyperlink" Target="#Parameters!A1"/><Relationship Id="rId1" Type="http://schemas.openxmlformats.org/officeDocument/2006/relationships/hyperlink" Target="#Introduction!A1"/><Relationship Id="rId6" Type="http://schemas.openxmlformats.org/officeDocument/2006/relationships/hyperlink" Target="#'S2-Purchased Electricity'!A1"/><Relationship Id="rId5" Type="http://schemas.openxmlformats.org/officeDocument/2006/relationships/hyperlink" Target="#'S1-Refrigerants'!A1"/><Relationship Id="rId4" Type="http://schemas.openxmlformats.org/officeDocument/2006/relationships/hyperlink" Target="#'S1-Mobile Combustion'!A1"/><Relationship Id="rId9" Type="http://schemas.openxmlformats.org/officeDocument/2006/relationships/hyperlink" Target="#'Emission Factors'!A1"/></Relationships>
</file>

<file path=xl/drawings/_rels/drawing4.xml.rels><?xml version="1.0" encoding="UTF-8" standalone="yes"?>
<Relationships xmlns="http://schemas.openxmlformats.org/package/2006/relationships"><Relationship Id="rId8" Type="http://schemas.openxmlformats.org/officeDocument/2006/relationships/hyperlink" Target="#'S2-Purchased Electricity'!A1"/><Relationship Id="rId3" Type="http://schemas.openxmlformats.org/officeDocument/2006/relationships/hyperlink" Target="#Introduction!A1"/><Relationship Id="rId7" Type="http://schemas.openxmlformats.org/officeDocument/2006/relationships/hyperlink" Target="#'S1-Refrigerants'!A1"/><Relationship Id="rId2" Type="http://schemas.openxmlformats.org/officeDocument/2006/relationships/image" Target="../media/image5.svg"/><Relationship Id="rId1" Type="http://schemas.openxmlformats.org/officeDocument/2006/relationships/image" Target="../media/image4.png"/><Relationship Id="rId6" Type="http://schemas.openxmlformats.org/officeDocument/2006/relationships/hyperlink" Target="#'S1-Mobile Combustion'!A1"/><Relationship Id="rId11" Type="http://schemas.openxmlformats.org/officeDocument/2006/relationships/hyperlink" Target="#'Emission Factors'!A1"/><Relationship Id="rId5" Type="http://schemas.openxmlformats.org/officeDocument/2006/relationships/hyperlink" Target="#'S1-Stationary Combustion'!A1"/><Relationship Id="rId10" Type="http://schemas.openxmlformats.org/officeDocument/2006/relationships/hyperlink" Target="#'Results Summary'!A1"/><Relationship Id="rId4" Type="http://schemas.openxmlformats.org/officeDocument/2006/relationships/hyperlink" Target="#Parameters!A1"/><Relationship Id="rId9" Type="http://schemas.openxmlformats.org/officeDocument/2006/relationships/hyperlink" Target="#'S3-Transportation'!A1"/></Relationships>
</file>

<file path=xl/drawings/_rels/drawing5.xml.rels><?xml version="1.0" encoding="UTF-8" standalone="yes"?>
<Relationships xmlns="http://schemas.openxmlformats.org/package/2006/relationships"><Relationship Id="rId8" Type="http://schemas.openxmlformats.org/officeDocument/2006/relationships/hyperlink" Target="#'S2-Purchased Electricity'!A1"/><Relationship Id="rId3" Type="http://schemas.openxmlformats.org/officeDocument/2006/relationships/hyperlink" Target="#Introduction!A1"/><Relationship Id="rId7" Type="http://schemas.openxmlformats.org/officeDocument/2006/relationships/hyperlink" Target="#'S1-Refrigerants'!A1"/><Relationship Id="rId2" Type="http://schemas.openxmlformats.org/officeDocument/2006/relationships/image" Target="../media/image5.svg"/><Relationship Id="rId1" Type="http://schemas.openxmlformats.org/officeDocument/2006/relationships/image" Target="../media/image4.png"/><Relationship Id="rId6" Type="http://schemas.openxmlformats.org/officeDocument/2006/relationships/hyperlink" Target="#'S1-Mobile Combustion'!A1"/><Relationship Id="rId11" Type="http://schemas.openxmlformats.org/officeDocument/2006/relationships/hyperlink" Target="#'Emission Factors'!A1"/><Relationship Id="rId5" Type="http://schemas.openxmlformats.org/officeDocument/2006/relationships/hyperlink" Target="#'S1-Stationary Combustion'!A1"/><Relationship Id="rId10" Type="http://schemas.openxmlformats.org/officeDocument/2006/relationships/hyperlink" Target="#'Results Summary'!A1"/><Relationship Id="rId4" Type="http://schemas.openxmlformats.org/officeDocument/2006/relationships/hyperlink" Target="#Parameters!A1"/><Relationship Id="rId9" Type="http://schemas.openxmlformats.org/officeDocument/2006/relationships/hyperlink" Target="#'S3-Transportation'!A1"/></Relationships>
</file>

<file path=xl/drawings/_rels/drawing6.xml.rels><?xml version="1.0" encoding="UTF-8" standalone="yes"?>
<Relationships xmlns="http://schemas.openxmlformats.org/package/2006/relationships"><Relationship Id="rId8" Type="http://schemas.openxmlformats.org/officeDocument/2006/relationships/hyperlink" Target="#'S2-Purchased Electricity'!A1"/><Relationship Id="rId3" Type="http://schemas.openxmlformats.org/officeDocument/2006/relationships/hyperlink" Target="#Introduction!A1"/><Relationship Id="rId7" Type="http://schemas.openxmlformats.org/officeDocument/2006/relationships/hyperlink" Target="#'S1-Refrigerants'!A1"/><Relationship Id="rId2" Type="http://schemas.openxmlformats.org/officeDocument/2006/relationships/image" Target="../media/image5.svg"/><Relationship Id="rId1" Type="http://schemas.openxmlformats.org/officeDocument/2006/relationships/image" Target="../media/image4.png"/><Relationship Id="rId6" Type="http://schemas.openxmlformats.org/officeDocument/2006/relationships/hyperlink" Target="#'S1-Mobile Combustion'!A1"/><Relationship Id="rId11" Type="http://schemas.openxmlformats.org/officeDocument/2006/relationships/hyperlink" Target="#'Emission Factors'!A1"/><Relationship Id="rId5" Type="http://schemas.openxmlformats.org/officeDocument/2006/relationships/hyperlink" Target="#'S1-Stationary Combustion'!A1"/><Relationship Id="rId10" Type="http://schemas.openxmlformats.org/officeDocument/2006/relationships/hyperlink" Target="#'Results Summary'!A1"/><Relationship Id="rId4" Type="http://schemas.openxmlformats.org/officeDocument/2006/relationships/hyperlink" Target="#Parameters!A1"/><Relationship Id="rId9" Type="http://schemas.openxmlformats.org/officeDocument/2006/relationships/hyperlink" Target="#'S3-Transportation'!A1"/></Relationships>
</file>

<file path=xl/drawings/_rels/drawing7.xml.rels><?xml version="1.0" encoding="UTF-8" standalone="yes"?>
<Relationships xmlns="http://schemas.openxmlformats.org/package/2006/relationships"><Relationship Id="rId8" Type="http://schemas.openxmlformats.org/officeDocument/2006/relationships/hyperlink" Target="#'S2-Purchased Electricity'!A1"/><Relationship Id="rId3" Type="http://schemas.openxmlformats.org/officeDocument/2006/relationships/hyperlink" Target="#Introduction!A1"/><Relationship Id="rId7" Type="http://schemas.openxmlformats.org/officeDocument/2006/relationships/hyperlink" Target="#'S1-Refrigerants'!A1"/><Relationship Id="rId2" Type="http://schemas.openxmlformats.org/officeDocument/2006/relationships/image" Target="../media/image5.svg"/><Relationship Id="rId1" Type="http://schemas.openxmlformats.org/officeDocument/2006/relationships/image" Target="../media/image4.png"/><Relationship Id="rId6" Type="http://schemas.openxmlformats.org/officeDocument/2006/relationships/hyperlink" Target="#'S1-Mobile Combustion'!A1"/><Relationship Id="rId11" Type="http://schemas.openxmlformats.org/officeDocument/2006/relationships/hyperlink" Target="#'Emission Factors'!A1"/><Relationship Id="rId5" Type="http://schemas.openxmlformats.org/officeDocument/2006/relationships/hyperlink" Target="#'S1-Stationary Combustion'!A1"/><Relationship Id="rId10" Type="http://schemas.openxmlformats.org/officeDocument/2006/relationships/hyperlink" Target="#'Results Summary'!A1"/><Relationship Id="rId4" Type="http://schemas.openxmlformats.org/officeDocument/2006/relationships/hyperlink" Target="#Parameters!A1"/><Relationship Id="rId9" Type="http://schemas.openxmlformats.org/officeDocument/2006/relationships/hyperlink" Target="#'S3-Transportation'!A1"/></Relationships>
</file>

<file path=xl/drawings/_rels/drawing8.xml.rels><?xml version="1.0" encoding="UTF-8" standalone="yes"?>
<Relationships xmlns="http://schemas.openxmlformats.org/package/2006/relationships"><Relationship Id="rId8" Type="http://schemas.openxmlformats.org/officeDocument/2006/relationships/hyperlink" Target="#'S2-Purchased Electricity'!A1"/><Relationship Id="rId3" Type="http://schemas.openxmlformats.org/officeDocument/2006/relationships/hyperlink" Target="#Introduction!A1"/><Relationship Id="rId7" Type="http://schemas.openxmlformats.org/officeDocument/2006/relationships/hyperlink" Target="#'S1-Refrigerants'!A1"/><Relationship Id="rId2" Type="http://schemas.openxmlformats.org/officeDocument/2006/relationships/image" Target="../media/image5.svg"/><Relationship Id="rId1" Type="http://schemas.openxmlformats.org/officeDocument/2006/relationships/image" Target="../media/image4.png"/><Relationship Id="rId6" Type="http://schemas.openxmlformats.org/officeDocument/2006/relationships/hyperlink" Target="#'S1-Mobile Combustion'!A1"/><Relationship Id="rId11" Type="http://schemas.openxmlformats.org/officeDocument/2006/relationships/hyperlink" Target="#'Emission Factors'!A1"/><Relationship Id="rId5" Type="http://schemas.openxmlformats.org/officeDocument/2006/relationships/hyperlink" Target="#'S1-Stationary Combustion'!A1"/><Relationship Id="rId10" Type="http://schemas.openxmlformats.org/officeDocument/2006/relationships/hyperlink" Target="#'Results Summary'!A1"/><Relationship Id="rId4" Type="http://schemas.openxmlformats.org/officeDocument/2006/relationships/hyperlink" Target="#Parameters!A1"/><Relationship Id="rId9" Type="http://schemas.openxmlformats.org/officeDocument/2006/relationships/hyperlink" Target="#'S3-Transportation'!A1"/></Relationships>
</file>

<file path=xl/drawings/_rels/drawing9.xml.rels><?xml version="1.0" encoding="UTF-8" standalone="yes"?>
<Relationships xmlns="http://schemas.openxmlformats.org/package/2006/relationships"><Relationship Id="rId8" Type="http://schemas.openxmlformats.org/officeDocument/2006/relationships/hyperlink" Target="#'Results Summary'!A1"/><Relationship Id="rId3" Type="http://schemas.openxmlformats.org/officeDocument/2006/relationships/hyperlink" Target="#'S1-Stationary Combustion'!A1"/><Relationship Id="rId7" Type="http://schemas.openxmlformats.org/officeDocument/2006/relationships/hyperlink" Target="#'S3-Transportation'!A1"/><Relationship Id="rId2" Type="http://schemas.openxmlformats.org/officeDocument/2006/relationships/hyperlink" Target="#Parameters!A1"/><Relationship Id="rId1" Type="http://schemas.openxmlformats.org/officeDocument/2006/relationships/hyperlink" Target="#Introduction!A1"/><Relationship Id="rId6" Type="http://schemas.openxmlformats.org/officeDocument/2006/relationships/hyperlink" Target="#'S2-Purchased Electricity'!A1"/><Relationship Id="rId5" Type="http://schemas.openxmlformats.org/officeDocument/2006/relationships/hyperlink" Target="#'S1-Refrigerants'!A1"/><Relationship Id="rId4" Type="http://schemas.openxmlformats.org/officeDocument/2006/relationships/hyperlink" Target="#'S1-Mobile Combustion'!A1"/><Relationship Id="rId9" Type="http://schemas.openxmlformats.org/officeDocument/2006/relationships/hyperlink" Target="#'Emission Factors'!A1"/></Relationships>
</file>

<file path=xl/drawings/drawing1.xml><?xml version="1.0" encoding="utf-8"?>
<xdr:wsDr xmlns:xdr="http://schemas.openxmlformats.org/drawingml/2006/spreadsheetDrawing" xmlns:a="http://schemas.openxmlformats.org/drawingml/2006/main">
  <xdr:twoCellAnchor editAs="oneCell">
    <xdr:from>
      <xdr:col>5</xdr:col>
      <xdr:colOff>1025527</xdr:colOff>
      <xdr:row>41</xdr:row>
      <xdr:rowOff>63500</xdr:rowOff>
    </xdr:from>
    <xdr:to>
      <xdr:col>7</xdr:col>
      <xdr:colOff>619385</xdr:colOff>
      <xdr:row>43</xdr:row>
      <xdr:rowOff>133350</xdr:rowOff>
    </xdr:to>
    <xdr:pic>
      <xdr:nvPicPr>
        <xdr:cNvPr id="6" name="Picture 5">
          <a:hlinkClick xmlns:r="http://schemas.openxmlformats.org/officeDocument/2006/relationships" r:id="rId1"/>
          <a:extLst>
            <a:ext uri="{FF2B5EF4-FFF2-40B4-BE49-F238E27FC236}">
              <a16:creationId xmlns:a16="http://schemas.microsoft.com/office/drawing/2014/main" id="{00000000-0008-0000-0000-000006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37402" b="40409"/>
        <a:stretch/>
      </xdr:blipFill>
      <xdr:spPr>
        <a:xfrm>
          <a:off x="5718177" y="10985500"/>
          <a:ext cx="1759208" cy="438150"/>
        </a:xfrm>
        <a:prstGeom prst="rect">
          <a:avLst/>
        </a:prstGeom>
      </xdr:spPr>
    </xdr:pic>
    <xdr:clientData/>
  </xdr:twoCellAnchor>
  <xdr:twoCellAnchor editAs="oneCell">
    <xdr:from>
      <xdr:col>0</xdr:col>
      <xdr:colOff>82551</xdr:colOff>
      <xdr:row>38</xdr:row>
      <xdr:rowOff>182159</xdr:rowOff>
    </xdr:from>
    <xdr:to>
      <xdr:col>3</xdr:col>
      <xdr:colOff>139701</xdr:colOff>
      <xdr:row>45</xdr:row>
      <xdr:rowOff>138641</xdr:rowOff>
    </xdr:to>
    <xdr:pic>
      <xdr:nvPicPr>
        <xdr:cNvPr id="8" name="Picture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2551" y="10551709"/>
          <a:ext cx="2178050" cy="1245532"/>
        </a:xfrm>
        <a:prstGeom prst="rect">
          <a:avLst/>
        </a:prstGeom>
      </xdr:spPr>
    </xdr:pic>
    <xdr:clientData/>
  </xdr:twoCellAnchor>
  <xdr:twoCellAnchor editAs="oneCell">
    <xdr:from>
      <xdr:col>3</xdr:col>
      <xdr:colOff>642938</xdr:colOff>
      <xdr:row>39</xdr:row>
      <xdr:rowOff>170275</xdr:rowOff>
    </xdr:from>
    <xdr:to>
      <xdr:col>4</xdr:col>
      <xdr:colOff>1403350</xdr:colOff>
      <xdr:row>44</xdr:row>
      <xdr:rowOff>69848</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2763838" y="10723975"/>
          <a:ext cx="2322512" cy="820323"/>
        </a:xfrm>
        <a:prstGeom prst="rect">
          <a:avLst/>
        </a:prstGeom>
      </xdr:spPr>
    </xdr:pic>
    <xdr:clientData/>
  </xdr:twoCellAnchor>
  <xdr:twoCellAnchor editAs="oneCell">
    <xdr:from>
      <xdr:col>0</xdr:col>
      <xdr:colOff>28576</xdr:colOff>
      <xdr:row>19</xdr:row>
      <xdr:rowOff>114301</xdr:rowOff>
    </xdr:from>
    <xdr:to>
      <xdr:col>0</xdr:col>
      <xdr:colOff>523875</xdr:colOff>
      <xdr:row>21</xdr:row>
      <xdr:rowOff>38100</xdr:rowOff>
    </xdr:to>
    <xdr:pic>
      <xdr:nvPicPr>
        <xdr:cNvPr id="4" name="Graphic 3" descr="Information">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8576" y="4095751"/>
          <a:ext cx="495299" cy="495299"/>
        </a:xfrm>
        <a:prstGeom prst="rect">
          <a:avLst/>
        </a:prstGeom>
      </xdr:spPr>
    </xdr:pic>
    <xdr:clientData/>
  </xdr:twoCellAnchor>
  <xdr:twoCellAnchor editAs="oneCell">
    <xdr:from>
      <xdr:col>0</xdr:col>
      <xdr:colOff>76200</xdr:colOff>
      <xdr:row>33</xdr:row>
      <xdr:rowOff>133350</xdr:rowOff>
    </xdr:from>
    <xdr:to>
      <xdr:col>0</xdr:col>
      <xdr:colOff>504825</xdr:colOff>
      <xdr:row>35</xdr:row>
      <xdr:rowOff>19050</xdr:rowOff>
    </xdr:to>
    <xdr:pic>
      <xdr:nvPicPr>
        <xdr:cNvPr id="29" name="Graphic 28" descr="Information">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76200" y="9686925"/>
          <a:ext cx="428625" cy="428625"/>
        </a:xfrm>
        <a:prstGeom prst="rect">
          <a:avLst/>
        </a:prstGeom>
      </xdr:spPr>
    </xdr:pic>
    <xdr:clientData/>
  </xdr:twoCellAnchor>
  <xdr:twoCellAnchor>
    <xdr:from>
      <xdr:col>1</xdr:col>
      <xdr:colOff>19050</xdr:colOff>
      <xdr:row>1</xdr:row>
      <xdr:rowOff>0</xdr:rowOff>
    </xdr:from>
    <xdr:to>
      <xdr:col>10</xdr:col>
      <xdr:colOff>463550</xdr:colOff>
      <xdr:row>5</xdr:row>
      <xdr:rowOff>44451</xdr:rowOff>
    </xdr:to>
    <xdr:grpSp>
      <xdr:nvGrpSpPr>
        <xdr:cNvPr id="2" name="Group 1">
          <a:extLst>
            <a:ext uri="{FF2B5EF4-FFF2-40B4-BE49-F238E27FC236}">
              <a16:creationId xmlns:a16="http://schemas.microsoft.com/office/drawing/2014/main" id="{00000000-0008-0000-0000-000002000000}"/>
            </a:ext>
          </a:extLst>
        </xdr:cNvPr>
        <xdr:cNvGrpSpPr/>
      </xdr:nvGrpSpPr>
      <xdr:grpSpPr>
        <a:xfrm>
          <a:off x="601756" y="190500"/>
          <a:ext cx="9341970" cy="806451"/>
          <a:chOff x="600075" y="190500"/>
          <a:chExt cx="9340850" cy="806451"/>
        </a:xfrm>
      </xdr:grpSpPr>
      <xdr:sp macro="[0]!Rectangle4_Click" textlink="">
        <xdr:nvSpPr>
          <xdr:cNvPr id="30" name="Rectangle 29">
            <a:hlinkClick xmlns:r="http://schemas.openxmlformats.org/officeDocument/2006/relationships" r:id="rId7"/>
            <a:extLst>
              <a:ext uri="{FF2B5EF4-FFF2-40B4-BE49-F238E27FC236}">
                <a16:creationId xmlns:a16="http://schemas.microsoft.com/office/drawing/2014/main" id="{00000000-0008-0000-0000-00001E000000}"/>
              </a:ext>
            </a:extLst>
          </xdr:cNvPr>
          <xdr:cNvSpPr/>
        </xdr:nvSpPr>
        <xdr:spPr>
          <a:xfrm>
            <a:off x="600075" y="190501"/>
            <a:ext cx="1022126" cy="806450"/>
          </a:xfrm>
          <a:prstGeom prst="rect">
            <a:avLst/>
          </a:prstGeom>
          <a:solidFill>
            <a:schemeClr val="accent2">
              <a:lumMod val="60000"/>
              <a:lumOff val="40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Introduction</a:t>
            </a:r>
          </a:p>
        </xdr:txBody>
      </xdr:sp>
      <xdr:sp macro="" textlink="">
        <xdr:nvSpPr>
          <xdr:cNvPr id="31" name="Rectangle 30">
            <a:hlinkClick xmlns:r="http://schemas.openxmlformats.org/officeDocument/2006/relationships" r:id="rId8"/>
            <a:extLst>
              <a:ext uri="{FF2B5EF4-FFF2-40B4-BE49-F238E27FC236}">
                <a16:creationId xmlns:a16="http://schemas.microsoft.com/office/drawing/2014/main" id="{00000000-0008-0000-0000-00001F000000}"/>
              </a:ext>
            </a:extLst>
          </xdr:cNvPr>
          <xdr:cNvSpPr/>
        </xdr:nvSpPr>
        <xdr:spPr>
          <a:xfrm>
            <a:off x="1629300" y="190501"/>
            <a:ext cx="1016042"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Parameter Input</a:t>
            </a:r>
          </a:p>
        </xdr:txBody>
      </xdr:sp>
      <xdr:sp macro="" textlink="">
        <xdr:nvSpPr>
          <xdr:cNvPr id="32" name="Rectangle 31">
            <a:hlinkClick xmlns:r="http://schemas.openxmlformats.org/officeDocument/2006/relationships" r:id="rId9"/>
            <a:extLst>
              <a:ext uri="{FF2B5EF4-FFF2-40B4-BE49-F238E27FC236}">
                <a16:creationId xmlns:a16="http://schemas.microsoft.com/office/drawing/2014/main" id="{00000000-0008-0000-0000-000020000000}"/>
              </a:ext>
            </a:extLst>
          </xdr:cNvPr>
          <xdr:cNvSpPr/>
        </xdr:nvSpPr>
        <xdr:spPr>
          <a:xfrm>
            <a:off x="2652440" y="190501"/>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Stationary Combustion</a:t>
            </a:r>
          </a:p>
        </xdr:txBody>
      </xdr:sp>
      <xdr:sp macro="" textlink="">
        <xdr:nvSpPr>
          <xdr:cNvPr id="33" name="Rectangle 32">
            <a:hlinkClick xmlns:r="http://schemas.openxmlformats.org/officeDocument/2006/relationships" r:id="rId10"/>
            <a:extLst>
              <a:ext uri="{FF2B5EF4-FFF2-40B4-BE49-F238E27FC236}">
                <a16:creationId xmlns:a16="http://schemas.microsoft.com/office/drawing/2014/main" id="{00000000-0008-0000-0000-000021000000}"/>
              </a:ext>
            </a:extLst>
          </xdr:cNvPr>
          <xdr:cNvSpPr/>
        </xdr:nvSpPr>
        <xdr:spPr>
          <a:xfrm>
            <a:off x="3681664" y="190501"/>
            <a:ext cx="1016042"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Mobile Combustion</a:t>
            </a:r>
          </a:p>
        </xdr:txBody>
      </xdr:sp>
      <xdr:sp macro="" textlink="">
        <xdr:nvSpPr>
          <xdr:cNvPr id="34" name="Rectangle 33">
            <a:hlinkClick xmlns:r="http://schemas.openxmlformats.org/officeDocument/2006/relationships" r:id="rId11"/>
            <a:extLst>
              <a:ext uri="{FF2B5EF4-FFF2-40B4-BE49-F238E27FC236}">
                <a16:creationId xmlns:a16="http://schemas.microsoft.com/office/drawing/2014/main" id="{00000000-0008-0000-0000-000022000000}"/>
              </a:ext>
            </a:extLst>
          </xdr:cNvPr>
          <xdr:cNvSpPr/>
        </xdr:nvSpPr>
        <xdr:spPr>
          <a:xfrm>
            <a:off x="4704805" y="190501"/>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Refrigerants</a:t>
            </a:r>
          </a:p>
        </xdr:txBody>
      </xdr:sp>
      <xdr:sp macro="" textlink="">
        <xdr:nvSpPr>
          <xdr:cNvPr id="35" name="Rectangle 34">
            <a:hlinkClick xmlns:r="http://schemas.openxmlformats.org/officeDocument/2006/relationships" r:id="rId12"/>
            <a:extLst>
              <a:ext uri="{FF2B5EF4-FFF2-40B4-BE49-F238E27FC236}">
                <a16:creationId xmlns:a16="http://schemas.microsoft.com/office/drawing/2014/main" id="{00000000-0008-0000-0000-000023000000}"/>
              </a:ext>
            </a:extLst>
          </xdr:cNvPr>
          <xdr:cNvSpPr/>
        </xdr:nvSpPr>
        <xdr:spPr>
          <a:xfrm>
            <a:off x="5734029" y="190501"/>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2 Purchased Electricity</a:t>
            </a:r>
          </a:p>
        </xdr:txBody>
      </xdr:sp>
      <xdr:sp macro="" textlink="">
        <xdr:nvSpPr>
          <xdr:cNvPr id="36" name="Rectangle 35">
            <a:hlinkClick xmlns:r="http://schemas.openxmlformats.org/officeDocument/2006/relationships" r:id="rId13"/>
            <a:extLst>
              <a:ext uri="{FF2B5EF4-FFF2-40B4-BE49-F238E27FC236}">
                <a16:creationId xmlns:a16="http://schemas.microsoft.com/office/drawing/2014/main" id="{00000000-0008-0000-0000-000024000000}"/>
              </a:ext>
            </a:extLst>
          </xdr:cNvPr>
          <xdr:cNvSpPr/>
        </xdr:nvSpPr>
        <xdr:spPr>
          <a:xfrm>
            <a:off x="6763254" y="190501"/>
            <a:ext cx="110439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3 Transportation</a:t>
            </a:r>
          </a:p>
        </xdr:txBody>
      </xdr:sp>
      <xdr:sp macro="" textlink="">
        <xdr:nvSpPr>
          <xdr:cNvPr id="37" name="Rectangle 36">
            <a:hlinkClick xmlns:r="http://schemas.openxmlformats.org/officeDocument/2006/relationships" r:id="rId14"/>
            <a:extLst>
              <a:ext uri="{FF2B5EF4-FFF2-40B4-BE49-F238E27FC236}">
                <a16:creationId xmlns:a16="http://schemas.microsoft.com/office/drawing/2014/main" id="{00000000-0008-0000-0000-000025000000}"/>
              </a:ext>
            </a:extLst>
          </xdr:cNvPr>
          <xdr:cNvSpPr/>
        </xdr:nvSpPr>
        <xdr:spPr>
          <a:xfrm>
            <a:off x="7880231" y="190501"/>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Result Summary</a:t>
            </a:r>
          </a:p>
        </xdr:txBody>
      </xdr:sp>
      <xdr:sp macro="" textlink="">
        <xdr:nvSpPr>
          <xdr:cNvPr id="38" name="Rectangle 37">
            <a:hlinkClick xmlns:r="http://schemas.openxmlformats.org/officeDocument/2006/relationships" r:id="rId15"/>
            <a:extLst>
              <a:ext uri="{FF2B5EF4-FFF2-40B4-BE49-F238E27FC236}">
                <a16:creationId xmlns:a16="http://schemas.microsoft.com/office/drawing/2014/main" id="{00000000-0008-0000-0000-000026000000}"/>
              </a:ext>
            </a:extLst>
          </xdr:cNvPr>
          <xdr:cNvSpPr/>
        </xdr:nvSpPr>
        <xdr:spPr>
          <a:xfrm>
            <a:off x="8914742" y="190500"/>
            <a:ext cx="1026183"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Emission Factors</a:t>
            </a:r>
          </a:p>
        </xdr:txBody>
      </xdr:sp>
    </xdr:grpSp>
    <xdr:clientData/>
  </xdr:twoCellAnchor>
  <xdr:twoCellAnchor editAs="oneCell">
    <xdr:from>
      <xdr:col>1</xdr:col>
      <xdr:colOff>57149</xdr:colOff>
      <xdr:row>7</xdr:row>
      <xdr:rowOff>66675</xdr:rowOff>
    </xdr:from>
    <xdr:to>
      <xdr:col>6</xdr:col>
      <xdr:colOff>142873</xdr:colOff>
      <xdr:row>14</xdr:row>
      <xdr:rowOff>129332</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638174" y="1400175"/>
          <a:ext cx="5619749" cy="13961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624417</xdr:colOff>
      <xdr:row>56</xdr:row>
      <xdr:rowOff>10584</xdr:rowOff>
    </xdr:from>
    <xdr:to>
      <xdr:col>1</xdr:col>
      <xdr:colOff>105833</xdr:colOff>
      <xdr:row>57</xdr:row>
      <xdr:rowOff>105833</xdr:rowOff>
    </xdr:to>
    <xdr:pic>
      <xdr:nvPicPr>
        <xdr:cNvPr id="14" name="Graphic 13" descr="Information">
          <a:extLst>
            <a:ext uri="{FF2B5EF4-FFF2-40B4-BE49-F238E27FC236}">
              <a16:creationId xmlns:a16="http://schemas.microsoft.com/office/drawing/2014/main" id="{00000000-0008-0000-0200-00000E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24417" y="10869084"/>
          <a:ext cx="433916" cy="433916"/>
        </a:xfrm>
        <a:prstGeom prst="rect">
          <a:avLst/>
        </a:prstGeom>
      </xdr:spPr>
    </xdr:pic>
    <xdr:clientData/>
  </xdr:twoCellAnchor>
  <xdr:twoCellAnchor>
    <xdr:from>
      <xdr:col>1</xdr:col>
      <xdr:colOff>1</xdr:colOff>
      <xdr:row>1</xdr:row>
      <xdr:rowOff>33618</xdr:rowOff>
    </xdr:from>
    <xdr:to>
      <xdr:col>2</xdr:col>
      <xdr:colOff>764392</xdr:colOff>
      <xdr:row>5</xdr:row>
      <xdr:rowOff>78068</xdr:rowOff>
    </xdr:to>
    <xdr:sp macro="[0]!Rectangle4_Click" textlink="">
      <xdr:nvSpPr>
        <xdr:cNvPr id="26" name="Rectangle 25">
          <a:hlinkClick xmlns:r="http://schemas.openxmlformats.org/officeDocument/2006/relationships" r:id="rId3"/>
          <a:extLst>
            <a:ext uri="{FF2B5EF4-FFF2-40B4-BE49-F238E27FC236}">
              <a16:creationId xmlns:a16="http://schemas.microsoft.com/office/drawing/2014/main" id="{00000000-0008-0000-0200-00001A000000}"/>
            </a:ext>
          </a:extLst>
        </xdr:cNvPr>
        <xdr:cNvSpPr/>
      </xdr:nvSpPr>
      <xdr:spPr>
        <a:xfrm>
          <a:off x="952501" y="224118"/>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Introduction</a:t>
          </a:r>
        </a:p>
      </xdr:txBody>
    </xdr:sp>
    <xdr:clientData/>
  </xdr:twoCellAnchor>
  <xdr:twoCellAnchor>
    <xdr:from>
      <xdr:col>2</xdr:col>
      <xdr:colOff>771491</xdr:colOff>
      <xdr:row>1</xdr:row>
      <xdr:rowOff>33618</xdr:rowOff>
    </xdr:from>
    <xdr:to>
      <xdr:col>2</xdr:col>
      <xdr:colOff>1787533</xdr:colOff>
      <xdr:row>5</xdr:row>
      <xdr:rowOff>78068</xdr:rowOff>
    </xdr:to>
    <xdr:sp macro="" textlink="">
      <xdr:nvSpPr>
        <xdr:cNvPr id="27" name="Rectangle 26">
          <a:hlinkClick xmlns:r="http://schemas.openxmlformats.org/officeDocument/2006/relationships" r:id="rId4"/>
          <a:extLst>
            <a:ext uri="{FF2B5EF4-FFF2-40B4-BE49-F238E27FC236}">
              <a16:creationId xmlns:a16="http://schemas.microsoft.com/office/drawing/2014/main" id="{00000000-0008-0000-0200-00001B000000}"/>
            </a:ext>
          </a:extLst>
        </xdr:cNvPr>
        <xdr:cNvSpPr/>
      </xdr:nvSpPr>
      <xdr:spPr>
        <a:xfrm>
          <a:off x="1981726" y="224118"/>
          <a:ext cx="1016042" cy="806450"/>
        </a:xfrm>
        <a:prstGeom prst="rect">
          <a:avLst/>
        </a:prstGeom>
        <a:solidFill>
          <a:schemeClr val="accent2">
            <a:lumMod val="60000"/>
            <a:lumOff val="40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Parameter Input</a:t>
          </a:r>
        </a:p>
      </xdr:txBody>
    </xdr:sp>
    <xdr:clientData/>
  </xdr:twoCellAnchor>
  <xdr:twoCellAnchor>
    <xdr:from>
      <xdr:col>2</xdr:col>
      <xdr:colOff>1794631</xdr:colOff>
      <xdr:row>1</xdr:row>
      <xdr:rowOff>33618</xdr:rowOff>
    </xdr:from>
    <xdr:to>
      <xdr:col>2</xdr:col>
      <xdr:colOff>2816757</xdr:colOff>
      <xdr:row>5</xdr:row>
      <xdr:rowOff>78068</xdr:rowOff>
    </xdr:to>
    <xdr:sp macro="" textlink="">
      <xdr:nvSpPr>
        <xdr:cNvPr id="28" name="Rectangle 27">
          <a:hlinkClick xmlns:r="http://schemas.openxmlformats.org/officeDocument/2006/relationships" r:id="rId5"/>
          <a:extLst>
            <a:ext uri="{FF2B5EF4-FFF2-40B4-BE49-F238E27FC236}">
              <a16:creationId xmlns:a16="http://schemas.microsoft.com/office/drawing/2014/main" id="{00000000-0008-0000-0200-00001C000000}"/>
            </a:ext>
          </a:extLst>
        </xdr:cNvPr>
        <xdr:cNvSpPr/>
      </xdr:nvSpPr>
      <xdr:spPr>
        <a:xfrm>
          <a:off x="3004866" y="224118"/>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Stationary Combustion</a:t>
          </a:r>
        </a:p>
      </xdr:txBody>
    </xdr:sp>
    <xdr:clientData/>
  </xdr:twoCellAnchor>
  <xdr:twoCellAnchor>
    <xdr:from>
      <xdr:col>2</xdr:col>
      <xdr:colOff>2823855</xdr:colOff>
      <xdr:row>1</xdr:row>
      <xdr:rowOff>33618</xdr:rowOff>
    </xdr:from>
    <xdr:to>
      <xdr:col>3</xdr:col>
      <xdr:colOff>702250</xdr:colOff>
      <xdr:row>5</xdr:row>
      <xdr:rowOff>78068</xdr:rowOff>
    </xdr:to>
    <xdr:sp macro="" textlink="">
      <xdr:nvSpPr>
        <xdr:cNvPr id="29" name="Rectangle 28">
          <a:hlinkClick xmlns:r="http://schemas.openxmlformats.org/officeDocument/2006/relationships" r:id="rId6"/>
          <a:extLst>
            <a:ext uri="{FF2B5EF4-FFF2-40B4-BE49-F238E27FC236}">
              <a16:creationId xmlns:a16="http://schemas.microsoft.com/office/drawing/2014/main" id="{00000000-0008-0000-0200-00001D000000}"/>
            </a:ext>
          </a:extLst>
        </xdr:cNvPr>
        <xdr:cNvSpPr/>
      </xdr:nvSpPr>
      <xdr:spPr>
        <a:xfrm>
          <a:off x="4034090" y="224118"/>
          <a:ext cx="1016042"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Mobile Combustion</a:t>
          </a:r>
        </a:p>
      </xdr:txBody>
    </xdr:sp>
    <xdr:clientData/>
  </xdr:twoCellAnchor>
  <xdr:twoCellAnchor>
    <xdr:from>
      <xdr:col>3</xdr:col>
      <xdr:colOff>709349</xdr:colOff>
      <xdr:row>1</xdr:row>
      <xdr:rowOff>33618</xdr:rowOff>
    </xdr:from>
    <xdr:to>
      <xdr:col>3</xdr:col>
      <xdr:colOff>1731475</xdr:colOff>
      <xdr:row>5</xdr:row>
      <xdr:rowOff>78068</xdr:rowOff>
    </xdr:to>
    <xdr:sp macro="" textlink="">
      <xdr:nvSpPr>
        <xdr:cNvPr id="30" name="Rectangle 29">
          <a:hlinkClick xmlns:r="http://schemas.openxmlformats.org/officeDocument/2006/relationships" r:id="rId7"/>
          <a:extLst>
            <a:ext uri="{FF2B5EF4-FFF2-40B4-BE49-F238E27FC236}">
              <a16:creationId xmlns:a16="http://schemas.microsoft.com/office/drawing/2014/main" id="{00000000-0008-0000-0200-00001E000000}"/>
            </a:ext>
          </a:extLst>
        </xdr:cNvPr>
        <xdr:cNvSpPr/>
      </xdr:nvSpPr>
      <xdr:spPr>
        <a:xfrm>
          <a:off x="5057231" y="224118"/>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Refrigerants</a:t>
          </a:r>
        </a:p>
      </xdr:txBody>
    </xdr:sp>
    <xdr:clientData/>
  </xdr:twoCellAnchor>
  <xdr:twoCellAnchor>
    <xdr:from>
      <xdr:col>3</xdr:col>
      <xdr:colOff>1738573</xdr:colOff>
      <xdr:row>1</xdr:row>
      <xdr:rowOff>33618</xdr:rowOff>
    </xdr:from>
    <xdr:to>
      <xdr:col>4</xdr:col>
      <xdr:colOff>978963</xdr:colOff>
      <xdr:row>5</xdr:row>
      <xdr:rowOff>78068</xdr:rowOff>
    </xdr:to>
    <xdr:sp macro="" textlink="">
      <xdr:nvSpPr>
        <xdr:cNvPr id="31" name="Rectangle 30">
          <a:hlinkClick xmlns:r="http://schemas.openxmlformats.org/officeDocument/2006/relationships" r:id="rId8"/>
          <a:extLst>
            <a:ext uri="{FF2B5EF4-FFF2-40B4-BE49-F238E27FC236}">
              <a16:creationId xmlns:a16="http://schemas.microsoft.com/office/drawing/2014/main" id="{00000000-0008-0000-0200-00001F000000}"/>
            </a:ext>
          </a:extLst>
        </xdr:cNvPr>
        <xdr:cNvSpPr/>
      </xdr:nvSpPr>
      <xdr:spPr>
        <a:xfrm>
          <a:off x="6086455" y="224118"/>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2 Purchased Electricity</a:t>
          </a:r>
        </a:p>
      </xdr:txBody>
    </xdr:sp>
    <xdr:clientData/>
  </xdr:twoCellAnchor>
  <xdr:twoCellAnchor>
    <xdr:from>
      <xdr:col>4</xdr:col>
      <xdr:colOff>986062</xdr:colOff>
      <xdr:row>1</xdr:row>
      <xdr:rowOff>33618</xdr:rowOff>
    </xdr:from>
    <xdr:to>
      <xdr:col>4</xdr:col>
      <xdr:colOff>2090458</xdr:colOff>
      <xdr:row>5</xdr:row>
      <xdr:rowOff>78068</xdr:rowOff>
    </xdr:to>
    <xdr:sp macro="" textlink="">
      <xdr:nvSpPr>
        <xdr:cNvPr id="32" name="Rectangle 31">
          <a:hlinkClick xmlns:r="http://schemas.openxmlformats.org/officeDocument/2006/relationships" r:id="rId9"/>
          <a:extLst>
            <a:ext uri="{FF2B5EF4-FFF2-40B4-BE49-F238E27FC236}">
              <a16:creationId xmlns:a16="http://schemas.microsoft.com/office/drawing/2014/main" id="{00000000-0008-0000-0200-000020000000}"/>
            </a:ext>
          </a:extLst>
        </xdr:cNvPr>
        <xdr:cNvSpPr/>
      </xdr:nvSpPr>
      <xdr:spPr>
        <a:xfrm>
          <a:off x="7115680" y="224118"/>
          <a:ext cx="110439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3 Transportation</a:t>
          </a:r>
        </a:p>
      </xdr:txBody>
    </xdr:sp>
    <xdr:clientData/>
  </xdr:twoCellAnchor>
  <xdr:twoCellAnchor>
    <xdr:from>
      <xdr:col>4</xdr:col>
      <xdr:colOff>2103039</xdr:colOff>
      <xdr:row>1</xdr:row>
      <xdr:rowOff>33618</xdr:rowOff>
    </xdr:from>
    <xdr:to>
      <xdr:col>5</xdr:col>
      <xdr:colOff>1018459</xdr:colOff>
      <xdr:row>5</xdr:row>
      <xdr:rowOff>78068</xdr:rowOff>
    </xdr:to>
    <xdr:sp macro="" textlink="">
      <xdr:nvSpPr>
        <xdr:cNvPr id="33" name="Rectangle 32">
          <a:hlinkClick xmlns:r="http://schemas.openxmlformats.org/officeDocument/2006/relationships" r:id="rId10"/>
          <a:extLst>
            <a:ext uri="{FF2B5EF4-FFF2-40B4-BE49-F238E27FC236}">
              <a16:creationId xmlns:a16="http://schemas.microsoft.com/office/drawing/2014/main" id="{00000000-0008-0000-0200-000021000000}"/>
            </a:ext>
          </a:extLst>
        </xdr:cNvPr>
        <xdr:cNvSpPr/>
      </xdr:nvSpPr>
      <xdr:spPr>
        <a:xfrm>
          <a:off x="8232657" y="224118"/>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Result Summary</a:t>
          </a:r>
        </a:p>
      </xdr:txBody>
    </xdr:sp>
    <xdr:clientData/>
  </xdr:twoCellAnchor>
  <xdr:twoCellAnchor>
    <xdr:from>
      <xdr:col>5</xdr:col>
      <xdr:colOff>1030844</xdr:colOff>
      <xdr:row>1</xdr:row>
      <xdr:rowOff>33617</xdr:rowOff>
    </xdr:from>
    <xdr:to>
      <xdr:col>6</xdr:col>
      <xdr:colOff>308910</xdr:colOff>
      <xdr:row>5</xdr:row>
      <xdr:rowOff>78067</xdr:rowOff>
    </xdr:to>
    <xdr:sp macro="" textlink="">
      <xdr:nvSpPr>
        <xdr:cNvPr id="34" name="Rectangle 33">
          <a:hlinkClick xmlns:r="http://schemas.openxmlformats.org/officeDocument/2006/relationships" r:id="rId11"/>
          <a:extLst>
            <a:ext uri="{FF2B5EF4-FFF2-40B4-BE49-F238E27FC236}">
              <a16:creationId xmlns:a16="http://schemas.microsoft.com/office/drawing/2014/main" id="{00000000-0008-0000-0200-000022000000}"/>
            </a:ext>
          </a:extLst>
        </xdr:cNvPr>
        <xdr:cNvSpPr/>
      </xdr:nvSpPr>
      <xdr:spPr>
        <a:xfrm>
          <a:off x="9267168" y="224117"/>
          <a:ext cx="1026183"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Emission Factors</a:t>
          </a:r>
        </a:p>
      </xdr:txBody>
    </xdr:sp>
    <xdr:clientData/>
  </xdr:twoCellAnchor>
  <xdr:twoCellAnchor editAs="oneCell">
    <xdr:from>
      <xdr:col>1</xdr:col>
      <xdr:colOff>179294</xdr:colOff>
      <xdr:row>7</xdr:row>
      <xdr:rowOff>33617</xdr:rowOff>
    </xdr:from>
    <xdr:to>
      <xdr:col>4</xdr:col>
      <xdr:colOff>50425</xdr:colOff>
      <xdr:row>13</xdr:row>
      <xdr:rowOff>144792</xdr:rowOff>
    </xdr:to>
    <xdr:pic>
      <xdr:nvPicPr>
        <xdr:cNvPr id="35" name="Picture 34">
          <a:extLst>
            <a:ext uri="{FF2B5EF4-FFF2-40B4-BE49-F238E27FC236}">
              <a16:creationId xmlns:a16="http://schemas.microsoft.com/office/drawing/2014/main" id="{00000000-0008-0000-0200-000023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131794" y="1367117"/>
          <a:ext cx="5048249" cy="12541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1</xdr:row>
      <xdr:rowOff>63500</xdr:rowOff>
    </xdr:from>
    <xdr:to>
      <xdr:col>4</xdr:col>
      <xdr:colOff>768350</xdr:colOff>
      <xdr:row>5</xdr:row>
      <xdr:rowOff>107951</xdr:rowOff>
    </xdr:to>
    <xdr:grpSp>
      <xdr:nvGrpSpPr>
        <xdr:cNvPr id="23" name="Group 22">
          <a:extLst>
            <a:ext uri="{FF2B5EF4-FFF2-40B4-BE49-F238E27FC236}">
              <a16:creationId xmlns:a16="http://schemas.microsoft.com/office/drawing/2014/main" id="{00000000-0008-0000-0300-000017000000}"/>
            </a:ext>
          </a:extLst>
        </xdr:cNvPr>
        <xdr:cNvGrpSpPr/>
      </xdr:nvGrpSpPr>
      <xdr:grpSpPr>
        <a:xfrm>
          <a:off x="1079500" y="254000"/>
          <a:ext cx="9340850" cy="806451"/>
          <a:chOff x="600075" y="190500"/>
          <a:chExt cx="9340850" cy="806451"/>
        </a:xfrm>
        <a:solidFill>
          <a:schemeClr val="bg1">
            <a:lumMod val="75000"/>
          </a:schemeClr>
        </a:solidFill>
      </xdr:grpSpPr>
      <xdr:sp macro="[0]!Rectangle4_Click" textlink="">
        <xdr:nvSpPr>
          <xdr:cNvPr id="33" name="Rectangle 32">
            <a:hlinkClick xmlns:r="http://schemas.openxmlformats.org/officeDocument/2006/relationships" r:id="rId1"/>
            <a:extLst>
              <a:ext uri="{FF2B5EF4-FFF2-40B4-BE49-F238E27FC236}">
                <a16:creationId xmlns:a16="http://schemas.microsoft.com/office/drawing/2014/main" id="{00000000-0008-0000-0300-000021000000}"/>
              </a:ext>
            </a:extLst>
          </xdr:cNvPr>
          <xdr:cNvSpPr/>
        </xdr:nvSpPr>
        <xdr:spPr>
          <a:xfrm>
            <a:off x="600075"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Introduction</a:t>
            </a:r>
          </a:p>
        </xdr:txBody>
      </xdr:sp>
      <xdr:sp macro="" textlink="">
        <xdr:nvSpPr>
          <xdr:cNvPr id="34" name="Rectangle 33">
            <a:hlinkClick xmlns:r="http://schemas.openxmlformats.org/officeDocument/2006/relationships" r:id="rId2"/>
            <a:extLst>
              <a:ext uri="{FF2B5EF4-FFF2-40B4-BE49-F238E27FC236}">
                <a16:creationId xmlns:a16="http://schemas.microsoft.com/office/drawing/2014/main" id="{00000000-0008-0000-0300-000022000000}"/>
              </a:ext>
            </a:extLst>
          </xdr:cNvPr>
          <xdr:cNvSpPr/>
        </xdr:nvSpPr>
        <xdr:spPr>
          <a:xfrm>
            <a:off x="1629300" y="190501"/>
            <a:ext cx="1016042"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Parameter Input</a:t>
            </a:r>
          </a:p>
        </xdr:txBody>
      </xdr:sp>
      <xdr:sp macro="" textlink="">
        <xdr:nvSpPr>
          <xdr:cNvPr id="35" name="Rectangle 34">
            <a:hlinkClick xmlns:r="http://schemas.openxmlformats.org/officeDocument/2006/relationships" r:id="rId3"/>
            <a:extLst>
              <a:ext uri="{FF2B5EF4-FFF2-40B4-BE49-F238E27FC236}">
                <a16:creationId xmlns:a16="http://schemas.microsoft.com/office/drawing/2014/main" id="{00000000-0008-0000-0300-000023000000}"/>
              </a:ext>
            </a:extLst>
          </xdr:cNvPr>
          <xdr:cNvSpPr/>
        </xdr:nvSpPr>
        <xdr:spPr>
          <a:xfrm>
            <a:off x="2652440"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Stationary Combustion</a:t>
            </a:r>
          </a:p>
        </xdr:txBody>
      </xdr:sp>
      <xdr:sp macro="" textlink="">
        <xdr:nvSpPr>
          <xdr:cNvPr id="36" name="Rectangle 35">
            <a:hlinkClick xmlns:r="http://schemas.openxmlformats.org/officeDocument/2006/relationships" r:id="rId4"/>
            <a:extLst>
              <a:ext uri="{FF2B5EF4-FFF2-40B4-BE49-F238E27FC236}">
                <a16:creationId xmlns:a16="http://schemas.microsoft.com/office/drawing/2014/main" id="{00000000-0008-0000-0300-000024000000}"/>
              </a:ext>
            </a:extLst>
          </xdr:cNvPr>
          <xdr:cNvSpPr/>
        </xdr:nvSpPr>
        <xdr:spPr>
          <a:xfrm>
            <a:off x="3681664" y="190501"/>
            <a:ext cx="1016042"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Mobile Combustion</a:t>
            </a:r>
          </a:p>
        </xdr:txBody>
      </xdr:sp>
      <xdr:sp macro="" textlink="">
        <xdr:nvSpPr>
          <xdr:cNvPr id="37" name="Rectangle 36">
            <a:hlinkClick xmlns:r="http://schemas.openxmlformats.org/officeDocument/2006/relationships" r:id="rId5"/>
            <a:extLst>
              <a:ext uri="{FF2B5EF4-FFF2-40B4-BE49-F238E27FC236}">
                <a16:creationId xmlns:a16="http://schemas.microsoft.com/office/drawing/2014/main" id="{00000000-0008-0000-0300-000025000000}"/>
              </a:ext>
            </a:extLst>
          </xdr:cNvPr>
          <xdr:cNvSpPr/>
        </xdr:nvSpPr>
        <xdr:spPr>
          <a:xfrm>
            <a:off x="4704805"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Refrigerants</a:t>
            </a:r>
          </a:p>
        </xdr:txBody>
      </xdr:sp>
      <xdr:sp macro="" textlink="">
        <xdr:nvSpPr>
          <xdr:cNvPr id="38" name="Rectangle 37">
            <a:hlinkClick xmlns:r="http://schemas.openxmlformats.org/officeDocument/2006/relationships" r:id="rId6"/>
            <a:extLst>
              <a:ext uri="{FF2B5EF4-FFF2-40B4-BE49-F238E27FC236}">
                <a16:creationId xmlns:a16="http://schemas.microsoft.com/office/drawing/2014/main" id="{00000000-0008-0000-0300-000026000000}"/>
              </a:ext>
            </a:extLst>
          </xdr:cNvPr>
          <xdr:cNvSpPr/>
        </xdr:nvSpPr>
        <xdr:spPr>
          <a:xfrm>
            <a:off x="5734029"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2 Purchased Electricity</a:t>
            </a:r>
          </a:p>
        </xdr:txBody>
      </xdr:sp>
      <xdr:sp macro="" textlink="">
        <xdr:nvSpPr>
          <xdr:cNvPr id="39" name="Rectangle 38">
            <a:hlinkClick xmlns:r="http://schemas.openxmlformats.org/officeDocument/2006/relationships" r:id="rId7"/>
            <a:extLst>
              <a:ext uri="{FF2B5EF4-FFF2-40B4-BE49-F238E27FC236}">
                <a16:creationId xmlns:a16="http://schemas.microsoft.com/office/drawing/2014/main" id="{00000000-0008-0000-0300-000027000000}"/>
              </a:ext>
            </a:extLst>
          </xdr:cNvPr>
          <xdr:cNvSpPr/>
        </xdr:nvSpPr>
        <xdr:spPr>
          <a:xfrm>
            <a:off x="6763254" y="190501"/>
            <a:ext cx="110439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3 Transportation</a:t>
            </a:r>
          </a:p>
        </xdr:txBody>
      </xdr:sp>
      <xdr:sp macro="" textlink="">
        <xdr:nvSpPr>
          <xdr:cNvPr id="40" name="Rectangle 39">
            <a:hlinkClick xmlns:r="http://schemas.openxmlformats.org/officeDocument/2006/relationships" r:id="rId8"/>
            <a:extLst>
              <a:ext uri="{FF2B5EF4-FFF2-40B4-BE49-F238E27FC236}">
                <a16:creationId xmlns:a16="http://schemas.microsoft.com/office/drawing/2014/main" id="{00000000-0008-0000-0300-000028000000}"/>
              </a:ext>
            </a:extLst>
          </xdr:cNvPr>
          <xdr:cNvSpPr/>
        </xdr:nvSpPr>
        <xdr:spPr>
          <a:xfrm>
            <a:off x="7880231"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Result Summary</a:t>
            </a:r>
          </a:p>
        </xdr:txBody>
      </xdr:sp>
      <xdr:sp macro="" textlink="">
        <xdr:nvSpPr>
          <xdr:cNvPr id="41" name="Rectangle 40">
            <a:hlinkClick xmlns:r="http://schemas.openxmlformats.org/officeDocument/2006/relationships" r:id="rId9"/>
            <a:extLst>
              <a:ext uri="{FF2B5EF4-FFF2-40B4-BE49-F238E27FC236}">
                <a16:creationId xmlns:a16="http://schemas.microsoft.com/office/drawing/2014/main" id="{00000000-0008-0000-0300-000029000000}"/>
              </a:ext>
            </a:extLst>
          </xdr:cNvPr>
          <xdr:cNvSpPr/>
        </xdr:nvSpPr>
        <xdr:spPr>
          <a:xfrm>
            <a:off x="8914742" y="190500"/>
            <a:ext cx="1026183" cy="806450"/>
          </a:xfrm>
          <a:prstGeom prst="rect">
            <a:avLst/>
          </a:prstGeom>
          <a:solidFill>
            <a:schemeClr val="accent2">
              <a:lumMod val="60000"/>
              <a:lumOff val="40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Emission Factors</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314325</xdr:colOff>
      <xdr:row>70</xdr:row>
      <xdr:rowOff>171450</xdr:rowOff>
    </xdr:from>
    <xdr:to>
      <xdr:col>1</xdr:col>
      <xdr:colOff>571500</xdr:colOff>
      <xdr:row>72</xdr:row>
      <xdr:rowOff>85725</xdr:rowOff>
    </xdr:to>
    <xdr:sp macro="" textlink="">
      <xdr:nvSpPr>
        <xdr:cNvPr id="3075" name="CommandButton1" hidden="1">
          <a:extLst>
            <a:ext uri="{63B3BB69-23CF-44E3-9099-C40C66FF867C}">
              <a14:compatExt xmlns:a14="http://schemas.microsoft.com/office/drawing/2010/main" spid="_x0000_s3075"/>
            </a:ext>
            <a:ext uri="{FF2B5EF4-FFF2-40B4-BE49-F238E27FC236}">
              <a16:creationId xmlns:a16="http://schemas.microsoft.com/office/drawing/2014/main" id="{00000000-0008-0000-0400-0000030C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1</xdr:col>
      <xdr:colOff>11905</xdr:colOff>
      <xdr:row>9</xdr:row>
      <xdr:rowOff>190500</xdr:rowOff>
    </xdr:from>
    <xdr:to>
      <xdr:col>1</xdr:col>
      <xdr:colOff>507204</xdr:colOff>
      <xdr:row>11</xdr:row>
      <xdr:rowOff>352424</xdr:rowOff>
    </xdr:to>
    <xdr:pic>
      <xdr:nvPicPr>
        <xdr:cNvPr id="14" name="Graphic 13" descr="Information">
          <a:extLst>
            <a:ext uri="{FF2B5EF4-FFF2-40B4-BE49-F238E27FC236}">
              <a16:creationId xmlns:a16="http://schemas.microsoft.com/office/drawing/2014/main" id="{00000000-0008-0000-0400-00000E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19124" y="2047875"/>
          <a:ext cx="495299" cy="495299"/>
        </a:xfrm>
        <a:prstGeom prst="rect">
          <a:avLst/>
        </a:prstGeom>
      </xdr:spPr>
    </xdr:pic>
    <xdr:clientData/>
  </xdr:twoCellAnchor>
  <xdr:twoCellAnchor>
    <xdr:from>
      <xdr:col>1</xdr:col>
      <xdr:colOff>571500</xdr:colOff>
      <xdr:row>1</xdr:row>
      <xdr:rowOff>95250</xdr:rowOff>
    </xdr:from>
    <xdr:to>
      <xdr:col>9</xdr:col>
      <xdr:colOff>65881</xdr:colOff>
      <xdr:row>5</xdr:row>
      <xdr:rowOff>139701</xdr:rowOff>
    </xdr:to>
    <xdr:grpSp>
      <xdr:nvGrpSpPr>
        <xdr:cNvPr id="35" name="Group 34">
          <a:extLst>
            <a:ext uri="{FF2B5EF4-FFF2-40B4-BE49-F238E27FC236}">
              <a16:creationId xmlns:a16="http://schemas.microsoft.com/office/drawing/2014/main" id="{00000000-0008-0000-0400-000023000000}"/>
            </a:ext>
          </a:extLst>
        </xdr:cNvPr>
        <xdr:cNvGrpSpPr/>
      </xdr:nvGrpSpPr>
      <xdr:grpSpPr>
        <a:xfrm>
          <a:off x="1182414" y="285750"/>
          <a:ext cx="9354398" cy="806451"/>
          <a:chOff x="600075" y="190500"/>
          <a:chExt cx="9340850" cy="806451"/>
        </a:xfrm>
        <a:solidFill>
          <a:schemeClr val="bg1">
            <a:lumMod val="75000"/>
          </a:schemeClr>
        </a:solidFill>
      </xdr:grpSpPr>
      <xdr:sp macro="[0]!Rectangle4_Click" textlink="">
        <xdr:nvSpPr>
          <xdr:cNvPr id="36" name="Rectangle 35">
            <a:hlinkClick xmlns:r="http://schemas.openxmlformats.org/officeDocument/2006/relationships" r:id="rId3"/>
            <a:extLst>
              <a:ext uri="{FF2B5EF4-FFF2-40B4-BE49-F238E27FC236}">
                <a16:creationId xmlns:a16="http://schemas.microsoft.com/office/drawing/2014/main" id="{00000000-0008-0000-0400-000024000000}"/>
              </a:ext>
            </a:extLst>
          </xdr:cNvPr>
          <xdr:cNvSpPr/>
        </xdr:nvSpPr>
        <xdr:spPr>
          <a:xfrm>
            <a:off x="600075"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Introduction</a:t>
            </a:r>
          </a:p>
        </xdr:txBody>
      </xdr:sp>
      <xdr:sp macro="" textlink="">
        <xdr:nvSpPr>
          <xdr:cNvPr id="37" name="Rectangle 36">
            <a:hlinkClick xmlns:r="http://schemas.openxmlformats.org/officeDocument/2006/relationships" r:id="rId4"/>
            <a:extLst>
              <a:ext uri="{FF2B5EF4-FFF2-40B4-BE49-F238E27FC236}">
                <a16:creationId xmlns:a16="http://schemas.microsoft.com/office/drawing/2014/main" id="{00000000-0008-0000-0400-000025000000}"/>
              </a:ext>
            </a:extLst>
          </xdr:cNvPr>
          <xdr:cNvSpPr/>
        </xdr:nvSpPr>
        <xdr:spPr>
          <a:xfrm>
            <a:off x="1629300" y="190501"/>
            <a:ext cx="1016042"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Parameter Input</a:t>
            </a:r>
          </a:p>
        </xdr:txBody>
      </xdr:sp>
      <xdr:sp macro="" textlink="">
        <xdr:nvSpPr>
          <xdr:cNvPr id="38" name="Rectangle 37">
            <a:hlinkClick xmlns:r="http://schemas.openxmlformats.org/officeDocument/2006/relationships" r:id="rId5"/>
            <a:extLst>
              <a:ext uri="{FF2B5EF4-FFF2-40B4-BE49-F238E27FC236}">
                <a16:creationId xmlns:a16="http://schemas.microsoft.com/office/drawing/2014/main" id="{00000000-0008-0000-0400-000026000000}"/>
              </a:ext>
            </a:extLst>
          </xdr:cNvPr>
          <xdr:cNvSpPr/>
        </xdr:nvSpPr>
        <xdr:spPr>
          <a:xfrm>
            <a:off x="2652440" y="190501"/>
            <a:ext cx="1022126" cy="806450"/>
          </a:xfrm>
          <a:prstGeom prst="rect">
            <a:avLst/>
          </a:prstGeom>
          <a:solidFill>
            <a:schemeClr val="accent2">
              <a:lumMod val="60000"/>
              <a:lumOff val="40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Stationary Combustion</a:t>
            </a:r>
          </a:p>
        </xdr:txBody>
      </xdr:sp>
      <xdr:sp macro="" textlink="">
        <xdr:nvSpPr>
          <xdr:cNvPr id="39" name="Rectangle 38">
            <a:hlinkClick xmlns:r="http://schemas.openxmlformats.org/officeDocument/2006/relationships" r:id="rId6"/>
            <a:extLst>
              <a:ext uri="{FF2B5EF4-FFF2-40B4-BE49-F238E27FC236}">
                <a16:creationId xmlns:a16="http://schemas.microsoft.com/office/drawing/2014/main" id="{00000000-0008-0000-0400-000027000000}"/>
              </a:ext>
            </a:extLst>
          </xdr:cNvPr>
          <xdr:cNvSpPr/>
        </xdr:nvSpPr>
        <xdr:spPr>
          <a:xfrm>
            <a:off x="3681664" y="190501"/>
            <a:ext cx="1016042"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Mobile Combustion</a:t>
            </a:r>
          </a:p>
        </xdr:txBody>
      </xdr:sp>
      <xdr:sp macro="" textlink="">
        <xdr:nvSpPr>
          <xdr:cNvPr id="40" name="Rectangle 39">
            <a:hlinkClick xmlns:r="http://schemas.openxmlformats.org/officeDocument/2006/relationships" r:id="rId7"/>
            <a:extLst>
              <a:ext uri="{FF2B5EF4-FFF2-40B4-BE49-F238E27FC236}">
                <a16:creationId xmlns:a16="http://schemas.microsoft.com/office/drawing/2014/main" id="{00000000-0008-0000-0400-000028000000}"/>
              </a:ext>
            </a:extLst>
          </xdr:cNvPr>
          <xdr:cNvSpPr/>
        </xdr:nvSpPr>
        <xdr:spPr>
          <a:xfrm>
            <a:off x="4704805"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Refrigerants</a:t>
            </a:r>
          </a:p>
        </xdr:txBody>
      </xdr:sp>
      <xdr:sp macro="" textlink="">
        <xdr:nvSpPr>
          <xdr:cNvPr id="41" name="Rectangle 40">
            <a:hlinkClick xmlns:r="http://schemas.openxmlformats.org/officeDocument/2006/relationships" r:id="rId8"/>
            <a:extLst>
              <a:ext uri="{FF2B5EF4-FFF2-40B4-BE49-F238E27FC236}">
                <a16:creationId xmlns:a16="http://schemas.microsoft.com/office/drawing/2014/main" id="{00000000-0008-0000-0400-000029000000}"/>
              </a:ext>
            </a:extLst>
          </xdr:cNvPr>
          <xdr:cNvSpPr/>
        </xdr:nvSpPr>
        <xdr:spPr>
          <a:xfrm>
            <a:off x="5734029"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2 Purchased Electricity</a:t>
            </a:r>
          </a:p>
        </xdr:txBody>
      </xdr:sp>
      <xdr:sp macro="" textlink="">
        <xdr:nvSpPr>
          <xdr:cNvPr id="42" name="Rectangle 41">
            <a:hlinkClick xmlns:r="http://schemas.openxmlformats.org/officeDocument/2006/relationships" r:id="rId9"/>
            <a:extLst>
              <a:ext uri="{FF2B5EF4-FFF2-40B4-BE49-F238E27FC236}">
                <a16:creationId xmlns:a16="http://schemas.microsoft.com/office/drawing/2014/main" id="{00000000-0008-0000-0400-00002A000000}"/>
              </a:ext>
            </a:extLst>
          </xdr:cNvPr>
          <xdr:cNvSpPr/>
        </xdr:nvSpPr>
        <xdr:spPr>
          <a:xfrm>
            <a:off x="6763254" y="190501"/>
            <a:ext cx="110439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3 Transportation</a:t>
            </a:r>
          </a:p>
        </xdr:txBody>
      </xdr:sp>
      <xdr:sp macro="" textlink="">
        <xdr:nvSpPr>
          <xdr:cNvPr id="43" name="Rectangle 42">
            <a:hlinkClick xmlns:r="http://schemas.openxmlformats.org/officeDocument/2006/relationships" r:id="rId10"/>
            <a:extLst>
              <a:ext uri="{FF2B5EF4-FFF2-40B4-BE49-F238E27FC236}">
                <a16:creationId xmlns:a16="http://schemas.microsoft.com/office/drawing/2014/main" id="{00000000-0008-0000-0400-00002B000000}"/>
              </a:ext>
            </a:extLst>
          </xdr:cNvPr>
          <xdr:cNvSpPr/>
        </xdr:nvSpPr>
        <xdr:spPr>
          <a:xfrm>
            <a:off x="7880231"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Result Summary</a:t>
            </a:r>
          </a:p>
        </xdr:txBody>
      </xdr:sp>
      <xdr:sp macro="" textlink="">
        <xdr:nvSpPr>
          <xdr:cNvPr id="44" name="Rectangle 43">
            <a:hlinkClick xmlns:r="http://schemas.openxmlformats.org/officeDocument/2006/relationships" r:id="rId11"/>
            <a:extLst>
              <a:ext uri="{FF2B5EF4-FFF2-40B4-BE49-F238E27FC236}">
                <a16:creationId xmlns:a16="http://schemas.microsoft.com/office/drawing/2014/main" id="{00000000-0008-0000-0400-00002C000000}"/>
              </a:ext>
            </a:extLst>
          </xdr:cNvPr>
          <xdr:cNvSpPr/>
        </xdr:nvSpPr>
        <xdr:spPr>
          <a:xfrm>
            <a:off x="8914742" y="190500"/>
            <a:ext cx="1026183"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Emission Factors</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266700</xdr:colOff>
      <xdr:row>44</xdr:row>
      <xdr:rowOff>123825</xdr:rowOff>
    </xdr:from>
    <xdr:to>
      <xdr:col>1</xdr:col>
      <xdr:colOff>552450</xdr:colOff>
      <xdr:row>46</xdr:row>
      <xdr:rowOff>19050</xdr:rowOff>
    </xdr:to>
    <xdr:sp macro="" textlink="">
      <xdr:nvSpPr>
        <xdr:cNvPr id="4099" name="CommandButton1" hidden="1">
          <a:extLst>
            <a:ext uri="{63B3BB69-23CF-44E3-9099-C40C66FF867C}">
              <a14:compatExt xmlns:a14="http://schemas.microsoft.com/office/drawing/2010/main" spid="_x0000_s4099"/>
            </a:ext>
            <a:ext uri="{FF2B5EF4-FFF2-40B4-BE49-F238E27FC236}">
              <a16:creationId xmlns:a16="http://schemas.microsoft.com/office/drawing/2014/main" id="{00000000-0008-0000-0500-0000031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1</xdr:col>
      <xdr:colOff>0</xdr:colOff>
      <xdr:row>9</xdr:row>
      <xdr:rowOff>47625</xdr:rowOff>
    </xdr:from>
    <xdr:to>
      <xdr:col>1</xdr:col>
      <xdr:colOff>495299</xdr:colOff>
      <xdr:row>10</xdr:row>
      <xdr:rowOff>352424</xdr:rowOff>
    </xdr:to>
    <xdr:pic>
      <xdr:nvPicPr>
        <xdr:cNvPr id="24" name="Graphic 23" descr="Information">
          <a:extLst>
            <a:ext uri="{FF2B5EF4-FFF2-40B4-BE49-F238E27FC236}">
              <a16:creationId xmlns:a16="http://schemas.microsoft.com/office/drawing/2014/main" id="{00000000-0008-0000-0500-00001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83406" y="1845469"/>
          <a:ext cx="495299" cy="495299"/>
        </a:xfrm>
        <a:prstGeom prst="rect">
          <a:avLst/>
        </a:prstGeom>
      </xdr:spPr>
    </xdr:pic>
    <xdr:clientData/>
  </xdr:twoCellAnchor>
  <xdr:twoCellAnchor>
    <xdr:from>
      <xdr:col>1</xdr:col>
      <xdr:colOff>571501</xdr:colOff>
      <xdr:row>1</xdr:row>
      <xdr:rowOff>107157</xdr:rowOff>
    </xdr:from>
    <xdr:to>
      <xdr:col>8</xdr:col>
      <xdr:colOff>339726</xdr:colOff>
      <xdr:row>5</xdr:row>
      <xdr:rowOff>151608</xdr:rowOff>
    </xdr:to>
    <xdr:grpSp>
      <xdr:nvGrpSpPr>
        <xdr:cNvPr id="14" name="Group 13">
          <a:extLst>
            <a:ext uri="{FF2B5EF4-FFF2-40B4-BE49-F238E27FC236}">
              <a16:creationId xmlns:a16="http://schemas.microsoft.com/office/drawing/2014/main" id="{00000000-0008-0000-0500-00000E000000}"/>
            </a:ext>
          </a:extLst>
        </xdr:cNvPr>
        <xdr:cNvGrpSpPr/>
      </xdr:nvGrpSpPr>
      <xdr:grpSpPr>
        <a:xfrm>
          <a:off x="1151284" y="297657"/>
          <a:ext cx="9334638" cy="806451"/>
          <a:chOff x="600075" y="190500"/>
          <a:chExt cx="9340850" cy="806451"/>
        </a:xfrm>
        <a:solidFill>
          <a:schemeClr val="bg1">
            <a:lumMod val="75000"/>
          </a:schemeClr>
        </a:solidFill>
      </xdr:grpSpPr>
      <xdr:sp macro="[0]!Rectangle4_Click" textlink="">
        <xdr:nvSpPr>
          <xdr:cNvPr id="15" name="Rectangle 14">
            <a:hlinkClick xmlns:r="http://schemas.openxmlformats.org/officeDocument/2006/relationships" r:id="rId3"/>
            <a:extLst>
              <a:ext uri="{FF2B5EF4-FFF2-40B4-BE49-F238E27FC236}">
                <a16:creationId xmlns:a16="http://schemas.microsoft.com/office/drawing/2014/main" id="{00000000-0008-0000-0500-00000F000000}"/>
              </a:ext>
            </a:extLst>
          </xdr:cNvPr>
          <xdr:cNvSpPr/>
        </xdr:nvSpPr>
        <xdr:spPr>
          <a:xfrm>
            <a:off x="600075"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Introduction</a:t>
            </a:r>
          </a:p>
        </xdr:txBody>
      </xdr:sp>
      <xdr:sp macro="" textlink="">
        <xdr:nvSpPr>
          <xdr:cNvPr id="16" name="Rectangle 15">
            <a:hlinkClick xmlns:r="http://schemas.openxmlformats.org/officeDocument/2006/relationships" r:id="rId4"/>
            <a:extLst>
              <a:ext uri="{FF2B5EF4-FFF2-40B4-BE49-F238E27FC236}">
                <a16:creationId xmlns:a16="http://schemas.microsoft.com/office/drawing/2014/main" id="{00000000-0008-0000-0500-000010000000}"/>
              </a:ext>
            </a:extLst>
          </xdr:cNvPr>
          <xdr:cNvSpPr/>
        </xdr:nvSpPr>
        <xdr:spPr>
          <a:xfrm>
            <a:off x="1629300" y="190501"/>
            <a:ext cx="1016042"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Parameter Input</a:t>
            </a:r>
          </a:p>
        </xdr:txBody>
      </xdr:sp>
      <xdr:sp macro="" textlink="">
        <xdr:nvSpPr>
          <xdr:cNvPr id="17" name="Rectangle 16">
            <a:hlinkClick xmlns:r="http://schemas.openxmlformats.org/officeDocument/2006/relationships" r:id="rId5"/>
            <a:extLst>
              <a:ext uri="{FF2B5EF4-FFF2-40B4-BE49-F238E27FC236}">
                <a16:creationId xmlns:a16="http://schemas.microsoft.com/office/drawing/2014/main" id="{00000000-0008-0000-0500-000011000000}"/>
              </a:ext>
            </a:extLst>
          </xdr:cNvPr>
          <xdr:cNvSpPr/>
        </xdr:nvSpPr>
        <xdr:spPr>
          <a:xfrm>
            <a:off x="2652440"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Stationary Combustion</a:t>
            </a:r>
          </a:p>
        </xdr:txBody>
      </xdr:sp>
      <xdr:sp macro="" textlink="">
        <xdr:nvSpPr>
          <xdr:cNvPr id="18" name="Rectangle 17">
            <a:hlinkClick xmlns:r="http://schemas.openxmlformats.org/officeDocument/2006/relationships" r:id="rId6"/>
            <a:extLst>
              <a:ext uri="{FF2B5EF4-FFF2-40B4-BE49-F238E27FC236}">
                <a16:creationId xmlns:a16="http://schemas.microsoft.com/office/drawing/2014/main" id="{00000000-0008-0000-0500-000012000000}"/>
              </a:ext>
            </a:extLst>
          </xdr:cNvPr>
          <xdr:cNvSpPr/>
        </xdr:nvSpPr>
        <xdr:spPr>
          <a:xfrm>
            <a:off x="3683792" y="190501"/>
            <a:ext cx="1013913" cy="806450"/>
          </a:xfrm>
          <a:prstGeom prst="rect">
            <a:avLst/>
          </a:prstGeom>
          <a:solidFill>
            <a:schemeClr val="accent2">
              <a:lumMod val="60000"/>
              <a:lumOff val="40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Mobile Combustion</a:t>
            </a:r>
          </a:p>
        </xdr:txBody>
      </xdr:sp>
      <xdr:sp macro="" textlink="">
        <xdr:nvSpPr>
          <xdr:cNvPr id="19" name="Rectangle 18">
            <a:hlinkClick xmlns:r="http://schemas.openxmlformats.org/officeDocument/2006/relationships" r:id="rId7"/>
            <a:extLst>
              <a:ext uri="{FF2B5EF4-FFF2-40B4-BE49-F238E27FC236}">
                <a16:creationId xmlns:a16="http://schemas.microsoft.com/office/drawing/2014/main" id="{00000000-0008-0000-0500-000013000000}"/>
              </a:ext>
            </a:extLst>
          </xdr:cNvPr>
          <xdr:cNvSpPr/>
        </xdr:nvSpPr>
        <xdr:spPr>
          <a:xfrm>
            <a:off x="4704805"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Refrigerants</a:t>
            </a:r>
          </a:p>
        </xdr:txBody>
      </xdr:sp>
      <xdr:sp macro="" textlink="">
        <xdr:nvSpPr>
          <xdr:cNvPr id="20" name="Rectangle 19">
            <a:hlinkClick xmlns:r="http://schemas.openxmlformats.org/officeDocument/2006/relationships" r:id="rId8"/>
            <a:extLst>
              <a:ext uri="{FF2B5EF4-FFF2-40B4-BE49-F238E27FC236}">
                <a16:creationId xmlns:a16="http://schemas.microsoft.com/office/drawing/2014/main" id="{00000000-0008-0000-0500-000014000000}"/>
              </a:ext>
            </a:extLst>
          </xdr:cNvPr>
          <xdr:cNvSpPr/>
        </xdr:nvSpPr>
        <xdr:spPr>
          <a:xfrm>
            <a:off x="5734029"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2 Purchased Electricity</a:t>
            </a:r>
          </a:p>
        </xdr:txBody>
      </xdr:sp>
      <xdr:sp macro="" textlink="">
        <xdr:nvSpPr>
          <xdr:cNvPr id="21" name="Rectangle 20">
            <a:hlinkClick xmlns:r="http://schemas.openxmlformats.org/officeDocument/2006/relationships" r:id="rId9"/>
            <a:extLst>
              <a:ext uri="{FF2B5EF4-FFF2-40B4-BE49-F238E27FC236}">
                <a16:creationId xmlns:a16="http://schemas.microsoft.com/office/drawing/2014/main" id="{00000000-0008-0000-0500-000015000000}"/>
              </a:ext>
            </a:extLst>
          </xdr:cNvPr>
          <xdr:cNvSpPr/>
        </xdr:nvSpPr>
        <xdr:spPr>
          <a:xfrm>
            <a:off x="6763254" y="190501"/>
            <a:ext cx="110439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3 Transportation</a:t>
            </a:r>
          </a:p>
        </xdr:txBody>
      </xdr:sp>
      <xdr:sp macro="" textlink="">
        <xdr:nvSpPr>
          <xdr:cNvPr id="22" name="Rectangle 21">
            <a:hlinkClick xmlns:r="http://schemas.openxmlformats.org/officeDocument/2006/relationships" r:id="rId10"/>
            <a:extLst>
              <a:ext uri="{FF2B5EF4-FFF2-40B4-BE49-F238E27FC236}">
                <a16:creationId xmlns:a16="http://schemas.microsoft.com/office/drawing/2014/main" id="{00000000-0008-0000-0500-000016000000}"/>
              </a:ext>
            </a:extLst>
          </xdr:cNvPr>
          <xdr:cNvSpPr/>
        </xdr:nvSpPr>
        <xdr:spPr>
          <a:xfrm>
            <a:off x="7880231"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Result Summary</a:t>
            </a:r>
          </a:p>
        </xdr:txBody>
      </xdr:sp>
      <xdr:sp macro="" textlink="">
        <xdr:nvSpPr>
          <xdr:cNvPr id="23" name="Rectangle 22">
            <a:hlinkClick xmlns:r="http://schemas.openxmlformats.org/officeDocument/2006/relationships" r:id="rId11"/>
            <a:extLst>
              <a:ext uri="{FF2B5EF4-FFF2-40B4-BE49-F238E27FC236}">
                <a16:creationId xmlns:a16="http://schemas.microsoft.com/office/drawing/2014/main" id="{00000000-0008-0000-0500-000017000000}"/>
              </a:ext>
            </a:extLst>
          </xdr:cNvPr>
          <xdr:cNvSpPr/>
        </xdr:nvSpPr>
        <xdr:spPr>
          <a:xfrm>
            <a:off x="8914742" y="190500"/>
            <a:ext cx="1026183"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Emission Factors</a:t>
            </a:r>
          </a:p>
        </xdr:txBody>
      </xdr:sp>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560917</xdr:colOff>
      <xdr:row>11</xdr:row>
      <xdr:rowOff>21166</xdr:rowOff>
    </xdr:from>
    <xdr:to>
      <xdr:col>2</xdr:col>
      <xdr:colOff>442382</xdr:colOff>
      <xdr:row>11</xdr:row>
      <xdr:rowOff>517788</xdr:rowOff>
    </xdr:to>
    <xdr:pic>
      <xdr:nvPicPr>
        <xdr:cNvPr id="13" name="Graphic 12" descr="Information">
          <a:extLst>
            <a:ext uri="{FF2B5EF4-FFF2-40B4-BE49-F238E27FC236}">
              <a16:creationId xmlns:a16="http://schemas.microsoft.com/office/drawing/2014/main" id="{00000000-0008-0000-0600-00000D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174750" y="2201333"/>
          <a:ext cx="495299" cy="495299"/>
        </a:xfrm>
        <a:prstGeom prst="rect">
          <a:avLst/>
        </a:prstGeom>
      </xdr:spPr>
    </xdr:pic>
    <xdr:clientData/>
  </xdr:twoCellAnchor>
  <xdr:twoCellAnchor>
    <xdr:from>
      <xdr:col>1</xdr:col>
      <xdr:colOff>285750</xdr:colOff>
      <xdr:row>1</xdr:row>
      <xdr:rowOff>83344</xdr:rowOff>
    </xdr:from>
    <xdr:to>
      <xdr:col>6</xdr:col>
      <xdr:colOff>1393031</xdr:colOff>
      <xdr:row>5</xdr:row>
      <xdr:rowOff>95250</xdr:rowOff>
    </xdr:to>
    <xdr:grpSp>
      <xdr:nvGrpSpPr>
        <xdr:cNvPr id="24" name="Group 23">
          <a:extLst>
            <a:ext uri="{FF2B5EF4-FFF2-40B4-BE49-F238E27FC236}">
              <a16:creationId xmlns:a16="http://schemas.microsoft.com/office/drawing/2014/main" id="{00000000-0008-0000-0600-000018000000}"/>
            </a:ext>
          </a:extLst>
        </xdr:cNvPr>
        <xdr:cNvGrpSpPr/>
      </xdr:nvGrpSpPr>
      <xdr:grpSpPr>
        <a:xfrm>
          <a:off x="898663" y="273844"/>
          <a:ext cx="10069064" cy="773906"/>
          <a:chOff x="1190625" y="190499"/>
          <a:chExt cx="9255125" cy="806451"/>
        </a:xfrm>
      </xdr:grpSpPr>
      <xdr:sp macro="[0]!Rectangle4_Click" textlink="">
        <xdr:nvSpPr>
          <xdr:cNvPr id="25" name="Rectangle 24">
            <a:hlinkClick xmlns:r="http://schemas.openxmlformats.org/officeDocument/2006/relationships" r:id="rId3"/>
            <a:extLst>
              <a:ext uri="{FF2B5EF4-FFF2-40B4-BE49-F238E27FC236}">
                <a16:creationId xmlns:a16="http://schemas.microsoft.com/office/drawing/2014/main" id="{00000000-0008-0000-0600-000019000000}"/>
              </a:ext>
            </a:extLst>
          </xdr:cNvPr>
          <xdr:cNvSpPr/>
        </xdr:nvSpPr>
        <xdr:spPr>
          <a:xfrm>
            <a:off x="1190625" y="190500"/>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Introduction</a:t>
            </a:r>
          </a:p>
        </xdr:txBody>
      </xdr:sp>
      <xdr:sp macro="" textlink="">
        <xdr:nvSpPr>
          <xdr:cNvPr id="26" name="Rectangle 25">
            <a:hlinkClick xmlns:r="http://schemas.openxmlformats.org/officeDocument/2006/relationships" r:id="rId4"/>
            <a:extLst>
              <a:ext uri="{FF2B5EF4-FFF2-40B4-BE49-F238E27FC236}">
                <a16:creationId xmlns:a16="http://schemas.microsoft.com/office/drawing/2014/main" id="{00000000-0008-0000-0600-00001A000000}"/>
              </a:ext>
            </a:extLst>
          </xdr:cNvPr>
          <xdr:cNvSpPr/>
        </xdr:nvSpPr>
        <xdr:spPr>
          <a:xfrm>
            <a:off x="2219850" y="190500"/>
            <a:ext cx="1016042"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Parameter Input</a:t>
            </a:r>
          </a:p>
        </xdr:txBody>
      </xdr:sp>
      <xdr:sp macro="" textlink="">
        <xdr:nvSpPr>
          <xdr:cNvPr id="27" name="Rectangle 26">
            <a:hlinkClick xmlns:r="http://schemas.openxmlformats.org/officeDocument/2006/relationships" r:id="rId5"/>
            <a:extLst>
              <a:ext uri="{FF2B5EF4-FFF2-40B4-BE49-F238E27FC236}">
                <a16:creationId xmlns:a16="http://schemas.microsoft.com/office/drawing/2014/main" id="{00000000-0008-0000-0600-00001B000000}"/>
              </a:ext>
            </a:extLst>
          </xdr:cNvPr>
          <xdr:cNvSpPr/>
        </xdr:nvSpPr>
        <xdr:spPr>
          <a:xfrm>
            <a:off x="3242990" y="190500"/>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Stationary Combustion</a:t>
            </a:r>
          </a:p>
        </xdr:txBody>
      </xdr:sp>
      <xdr:sp macro="" textlink="">
        <xdr:nvSpPr>
          <xdr:cNvPr id="28" name="Rectangle 27">
            <a:hlinkClick xmlns:r="http://schemas.openxmlformats.org/officeDocument/2006/relationships" r:id="rId6"/>
            <a:extLst>
              <a:ext uri="{FF2B5EF4-FFF2-40B4-BE49-F238E27FC236}">
                <a16:creationId xmlns:a16="http://schemas.microsoft.com/office/drawing/2014/main" id="{00000000-0008-0000-0600-00001C000000}"/>
              </a:ext>
            </a:extLst>
          </xdr:cNvPr>
          <xdr:cNvSpPr/>
        </xdr:nvSpPr>
        <xdr:spPr>
          <a:xfrm>
            <a:off x="4272214" y="190500"/>
            <a:ext cx="1016042"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Mobile Combustion</a:t>
            </a:r>
          </a:p>
        </xdr:txBody>
      </xdr:sp>
      <xdr:sp macro="" textlink="">
        <xdr:nvSpPr>
          <xdr:cNvPr id="29" name="Rectangle 28">
            <a:hlinkClick xmlns:r="http://schemas.openxmlformats.org/officeDocument/2006/relationships" r:id="rId7"/>
            <a:extLst>
              <a:ext uri="{FF2B5EF4-FFF2-40B4-BE49-F238E27FC236}">
                <a16:creationId xmlns:a16="http://schemas.microsoft.com/office/drawing/2014/main" id="{00000000-0008-0000-0600-00001D000000}"/>
              </a:ext>
            </a:extLst>
          </xdr:cNvPr>
          <xdr:cNvSpPr/>
        </xdr:nvSpPr>
        <xdr:spPr>
          <a:xfrm>
            <a:off x="5295355" y="190500"/>
            <a:ext cx="1022126" cy="806450"/>
          </a:xfrm>
          <a:prstGeom prst="rect">
            <a:avLst/>
          </a:prstGeom>
          <a:solidFill>
            <a:schemeClr val="accent2">
              <a:lumMod val="60000"/>
              <a:lumOff val="40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Refrigerants</a:t>
            </a:r>
          </a:p>
        </xdr:txBody>
      </xdr:sp>
      <xdr:sp macro="" textlink="">
        <xdr:nvSpPr>
          <xdr:cNvPr id="30" name="Rectangle 29">
            <a:hlinkClick xmlns:r="http://schemas.openxmlformats.org/officeDocument/2006/relationships" r:id="rId8"/>
            <a:extLst>
              <a:ext uri="{FF2B5EF4-FFF2-40B4-BE49-F238E27FC236}">
                <a16:creationId xmlns:a16="http://schemas.microsoft.com/office/drawing/2014/main" id="{00000000-0008-0000-0600-00001E000000}"/>
              </a:ext>
            </a:extLst>
          </xdr:cNvPr>
          <xdr:cNvSpPr/>
        </xdr:nvSpPr>
        <xdr:spPr>
          <a:xfrm>
            <a:off x="6324579" y="190500"/>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2 Purchased Electricity</a:t>
            </a:r>
          </a:p>
        </xdr:txBody>
      </xdr:sp>
      <xdr:sp macro="" textlink="">
        <xdr:nvSpPr>
          <xdr:cNvPr id="31" name="Rectangle 30">
            <a:hlinkClick xmlns:r="http://schemas.openxmlformats.org/officeDocument/2006/relationships" r:id="rId9"/>
            <a:extLst>
              <a:ext uri="{FF2B5EF4-FFF2-40B4-BE49-F238E27FC236}">
                <a16:creationId xmlns:a16="http://schemas.microsoft.com/office/drawing/2014/main" id="{00000000-0008-0000-0600-00001F000000}"/>
              </a:ext>
            </a:extLst>
          </xdr:cNvPr>
          <xdr:cNvSpPr/>
        </xdr:nvSpPr>
        <xdr:spPr>
          <a:xfrm>
            <a:off x="7353804" y="190500"/>
            <a:ext cx="1024154"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3 Transportation</a:t>
            </a:r>
          </a:p>
        </xdr:txBody>
      </xdr:sp>
      <xdr:sp macro="" textlink="">
        <xdr:nvSpPr>
          <xdr:cNvPr id="32" name="Rectangle 31">
            <a:hlinkClick xmlns:r="http://schemas.openxmlformats.org/officeDocument/2006/relationships" r:id="rId10"/>
            <a:extLst>
              <a:ext uri="{FF2B5EF4-FFF2-40B4-BE49-F238E27FC236}">
                <a16:creationId xmlns:a16="http://schemas.microsoft.com/office/drawing/2014/main" id="{00000000-0008-0000-0600-000020000000}"/>
              </a:ext>
            </a:extLst>
          </xdr:cNvPr>
          <xdr:cNvSpPr/>
        </xdr:nvSpPr>
        <xdr:spPr>
          <a:xfrm>
            <a:off x="8385056" y="190500"/>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Result Summary</a:t>
            </a:r>
          </a:p>
        </xdr:txBody>
      </xdr:sp>
      <xdr:sp macro="" textlink="">
        <xdr:nvSpPr>
          <xdr:cNvPr id="33" name="Rectangle 32">
            <a:hlinkClick xmlns:r="http://schemas.openxmlformats.org/officeDocument/2006/relationships" r:id="rId11"/>
            <a:extLst>
              <a:ext uri="{FF2B5EF4-FFF2-40B4-BE49-F238E27FC236}">
                <a16:creationId xmlns:a16="http://schemas.microsoft.com/office/drawing/2014/main" id="{00000000-0008-0000-0600-000021000000}"/>
              </a:ext>
            </a:extLst>
          </xdr:cNvPr>
          <xdr:cNvSpPr/>
        </xdr:nvSpPr>
        <xdr:spPr>
          <a:xfrm>
            <a:off x="9419567" y="190499"/>
            <a:ext cx="1026183"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Emission Factors</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171450</xdr:colOff>
      <xdr:row>59</xdr:row>
      <xdr:rowOff>47625</xdr:rowOff>
    </xdr:from>
    <xdr:to>
      <xdr:col>1</xdr:col>
      <xdr:colOff>428625</xdr:colOff>
      <xdr:row>60</xdr:row>
      <xdr:rowOff>152400</xdr:rowOff>
    </xdr:to>
    <xdr:sp macro="" textlink="">
      <xdr:nvSpPr>
        <xdr:cNvPr id="6148" name="CommandButton1" hidden="1">
          <a:extLst>
            <a:ext uri="{63B3BB69-23CF-44E3-9099-C40C66FF867C}">
              <a14:compatExt xmlns:a14="http://schemas.microsoft.com/office/drawing/2010/main" spid="_x0000_s6148"/>
            </a:ext>
            <a:ext uri="{FF2B5EF4-FFF2-40B4-BE49-F238E27FC236}">
              <a16:creationId xmlns:a16="http://schemas.microsoft.com/office/drawing/2014/main" id="{00000000-0008-0000-0700-00000418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0</xdr:col>
      <xdr:colOff>595312</xdr:colOff>
      <xdr:row>9</xdr:row>
      <xdr:rowOff>202406</xdr:rowOff>
    </xdr:from>
    <xdr:to>
      <xdr:col>1</xdr:col>
      <xdr:colOff>483392</xdr:colOff>
      <xdr:row>10</xdr:row>
      <xdr:rowOff>435768</xdr:rowOff>
    </xdr:to>
    <xdr:pic>
      <xdr:nvPicPr>
        <xdr:cNvPr id="14" name="Graphic 13" descr="Information">
          <a:extLst>
            <a:ext uri="{FF2B5EF4-FFF2-40B4-BE49-F238E27FC236}">
              <a16:creationId xmlns:a16="http://schemas.microsoft.com/office/drawing/2014/main" id="{00000000-0008-0000-0700-00000E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95312" y="2071687"/>
          <a:ext cx="495299" cy="495299"/>
        </a:xfrm>
        <a:prstGeom prst="rect">
          <a:avLst/>
        </a:prstGeom>
      </xdr:spPr>
    </xdr:pic>
    <xdr:clientData/>
  </xdr:twoCellAnchor>
  <xdr:twoCellAnchor>
    <xdr:from>
      <xdr:col>2</xdr:col>
      <xdr:colOff>11906</xdr:colOff>
      <xdr:row>1</xdr:row>
      <xdr:rowOff>83343</xdr:rowOff>
    </xdr:from>
    <xdr:to>
      <xdr:col>6</xdr:col>
      <xdr:colOff>2732881</xdr:colOff>
      <xdr:row>5</xdr:row>
      <xdr:rowOff>127794</xdr:rowOff>
    </xdr:to>
    <xdr:grpSp>
      <xdr:nvGrpSpPr>
        <xdr:cNvPr id="15" name="Group 14">
          <a:extLst>
            <a:ext uri="{FF2B5EF4-FFF2-40B4-BE49-F238E27FC236}">
              <a16:creationId xmlns:a16="http://schemas.microsoft.com/office/drawing/2014/main" id="{00000000-0008-0000-0700-00000F000000}"/>
            </a:ext>
          </a:extLst>
        </xdr:cNvPr>
        <xdr:cNvGrpSpPr/>
      </xdr:nvGrpSpPr>
      <xdr:grpSpPr>
        <a:xfrm>
          <a:off x="1204602" y="273843"/>
          <a:ext cx="9347062" cy="806451"/>
          <a:chOff x="600075" y="190500"/>
          <a:chExt cx="9340850" cy="806451"/>
        </a:xfrm>
        <a:solidFill>
          <a:schemeClr val="bg1">
            <a:lumMod val="75000"/>
          </a:schemeClr>
        </a:solidFill>
      </xdr:grpSpPr>
      <xdr:sp macro="[0]!Rectangle4_Click" textlink="">
        <xdr:nvSpPr>
          <xdr:cNvPr id="16" name="Rectangle 15">
            <a:hlinkClick xmlns:r="http://schemas.openxmlformats.org/officeDocument/2006/relationships" r:id="rId3"/>
            <a:extLst>
              <a:ext uri="{FF2B5EF4-FFF2-40B4-BE49-F238E27FC236}">
                <a16:creationId xmlns:a16="http://schemas.microsoft.com/office/drawing/2014/main" id="{00000000-0008-0000-0700-000010000000}"/>
              </a:ext>
            </a:extLst>
          </xdr:cNvPr>
          <xdr:cNvSpPr/>
        </xdr:nvSpPr>
        <xdr:spPr>
          <a:xfrm>
            <a:off x="600075"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Introduction</a:t>
            </a:r>
          </a:p>
        </xdr:txBody>
      </xdr:sp>
      <xdr:sp macro="" textlink="">
        <xdr:nvSpPr>
          <xdr:cNvPr id="17" name="Rectangle 16">
            <a:hlinkClick xmlns:r="http://schemas.openxmlformats.org/officeDocument/2006/relationships" r:id="rId4"/>
            <a:extLst>
              <a:ext uri="{FF2B5EF4-FFF2-40B4-BE49-F238E27FC236}">
                <a16:creationId xmlns:a16="http://schemas.microsoft.com/office/drawing/2014/main" id="{00000000-0008-0000-0700-000011000000}"/>
              </a:ext>
            </a:extLst>
          </xdr:cNvPr>
          <xdr:cNvSpPr/>
        </xdr:nvSpPr>
        <xdr:spPr>
          <a:xfrm>
            <a:off x="1629300" y="190501"/>
            <a:ext cx="1016042"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Parameter Input</a:t>
            </a:r>
          </a:p>
        </xdr:txBody>
      </xdr:sp>
      <xdr:sp macro="" textlink="">
        <xdr:nvSpPr>
          <xdr:cNvPr id="18" name="Rectangle 17">
            <a:hlinkClick xmlns:r="http://schemas.openxmlformats.org/officeDocument/2006/relationships" r:id="rId5"/>
            <a:extLst>
              <a:ext uri="{FF2B5EF4-FFF2-40B4-BE49-F238E27FC236}">
                <a16:creationId xmlns:a16="http://schemas.microsoft.com/office/drawing/2014/main" id="{00000000-0008-0000-0700-000012000000}"/>
              </a:ext>
            </a:extLst>
          </xdr:cNvPr>
          <xdr:cNvSpPr/>
        </xdr:nvSpPr>
        <xdr:spPr>
          <a:xfrm>
            <a:off x="2652440"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Stationary Combustion</a:t>
            </a:r>
          </a:p>
        </xdr:txBody>
      </xdr:sp>
      <xdr:sp macro="" textlink="">
        <xdr:nvSpPr>
          <xdr:cNvPr id="19" name="Rectangle 18">
            <a:hlinkClick xmlns:r="http://schemas.openxmlformats.org/officeDocument/2006/relationships" r:id="rId6"/>
            <a:extLst>
              <a:ext uri="{FF2B5EF4-FFF2-40B4-BE49-F238E27FC236}">
                <a16:creationId xmlns:a16="http://schemas.microsoft.com/office/drawing/2014/main" id="{00000000-0008-0000-0700-000013000000}"/>
              </a:ext>
            </a:extLst>
          </xdr:cNvPr>
          <xdr:cNvSpPr/>
        </xdr:nvSpPr>
        <xdr:spPr>
          <a:xfrm>
            <a:off x="3681664" y="190501"/>
            <a:ext cx="1016042"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Mobile Combustion</a:t>
            </a:r>
          </a:p>
        </xdr:txBody>
      </xdr:sp>
      <xdr:sp macro="" textlink="">
        <xdr:nvSpPr>
          <xdr:cNvPr id="20" name="Rectangle 19">
            <a:hlinkClick xmlns:r="http://schemas.openxmlformats.org/officeDocument/2006/relationships" r:id="rId7"/>
            <a:extLst>
              <a:ext uri="{FF2B5EF4-FFF2-40B4-BE49-F238E27FC236}">
                <a16:creationId xmlns:a16="http://schemas.microsoft.com/office/drawing/2014/main" id="{00000000-0008-0000-0700-000014000000}"/>
              </a:ext>
            </a:extLst>
          </xdr:cNvPr>
          <xdr:cNvSpPr/>
        </xdr:nvSpPr>
        <xdr:spPr>
          <a:xfrm>
            <a:off x="4704805"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Refrigerants</a:t>
            </a:r>
          </a:p>
        </xdr:txBody>
      </xdr:sp>
      <xdr:sp macro="" textlink="">
        <xdr:nvSpPr>
          <xdr:cNvPr id="21" name="Rectangle 20">
            <a:hlinkClick xmlns:r="http://schemas.openxmlformats.org/officeDocument/2006/relationships" r:id="rId8"/>
            <a:extLst>
              <a:ext uri="{FF2B5EF4-FFF2-40B4-BE49-F238E27FC236}">
                <a16:creationId xmlns:a16="http://schemas.microsoft.com/office/drawing/2014/main" id="{00000000-0008-0000-0700-000015000000}"/>
              </a:ext>
            </a:extLst>
          </xdr:cNvPr>
          <xdr:cNvSpPr/>
        </xdr:nvSpPr>
        <xdr:spPr>
          <a:xfrm>
            <a:off x="5734029" y="190501"/>
            <a:ext cx="1022126" cy="806450"/>
          </a:xfrm>
          <a:prstGeom prst="rect">
            <a:avLst/>
          </a:prstGeom>
          <a:solidFill>
            <a:schemeClr val="accent2">
              <a:lumMod val="60000"/>
              <a:lumOff val="40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2 Purchased Electricity</a:t>
            </a:r>
          </a:p>
        </xdr:txBody>
      </xdr:sp>
      <xdr:sp macro="" textlink="">
        <xdr:nvSpPr>
          <xdr:cNvPr id="22" name="Rectangle 21">
            <a:hlinkClick xmlns:r="http://schemas.openxmlformats.org/officeDocument/2006/relationships" r:id="rId9"/>
            <a:extLst>
              <a:ext uri="{FF2B5EF4-FFF2-40B4-BE49-F238E27FC236}">
                <a16:creationId xmlns:a16="http://schemas.microsoft.com/office/drawing/2014/main" id="{00000000-0008-0000-0700-000016000000}"/>
              </a:ext>
            </a:extLst>
          </xdr:cNvPr>
          <xdr:cNvSpPr/>
        </xdr:nvSpPr>
        <xdr:spPr>
          <a:xfrm>
            <a:off x="6763254" y="190501"/>
            <a:ext cx="110439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3 Transportation</a:t>
            </a:r>
          </a:p>
        </xdr:txBody>
      </xdr:sp>
      <xdr:sp macro="" textlink="">
        <xdr:nvSpPr>
          <xdr:cNvPr id="23" name="Rectangle 22">
            <a:hlinkClick xmlns:r="http://schemas.openxmlformats.org/officeDocument/2006/relationships" r:id="rId10"/>
            <a:extLst>
              <a:ext uri="{FF2B5EF4-FFF2-40B4-BE49-F238E27FC236}">
                <a16:creationId xmlns:a16="http://schemas.microsoft.com/office/drawing/2014/main" id="{00000000-0008-0000-0700-000017000000}"/>
              </a:ext>
            </a:extLst>
          </xdr:cNvPr>
          <xdr:cNvSpPr/>
        </xdr:nvSpPr>
        <xdr:spPr>
          <a:xfrm>
            <a:off x="7880231" y="190501"/>
            <a:ext cx="1022126"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Result Summary</a:t>
            </a:r>
          </a:p>
        </xdr:txBody>
      </xdr:sp>
      <xdr:sp macro="" textlink="">
        <xdr:nvSpPr>
          <xdr:cNvPr id="24" name="Rectangle 23">
            <a:hlinkClick xmlns:r="http://schemas.openxmlformats.org/officeDocument/2006/relationships" r:id="rId11"/>
            <a:extLst>
              <a:ext uri="{FF2B5EF4-FFF2-40B4-BE49-F238E27FC236}">
                <a16:creationId xmlns:a16="http://schemas.microsoft.com/office/drawing/2014/main" id="{00000000-0008-0000-0700-000018000000}"/>
              </a:ext>
            </a:extLst>
          </xdr:cNvPr>
          <xdr:cNvSpPr/>
        </xdr:nvSpPr>
        <xdr:spPr>
          <a:xfrm>
            <a:off x="8914742" y="190500"/>
            <a:ext cx="1026183" cy="806450"/>
          </a:xfrm>
          <a:prstGeom prst="rect">
            <a:avLst/>
          </a:prstGeom>
          <a:grp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Emission Factors</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257175</xdr:colOff>
      <xdr:row>46</xdr:row>
      <xdr:rowOff>114300</xdr:rowOff>
    </xdr:from>
    <xdr:to>
      <xdr:col>1</xdr:col>
      <xdr:colOff>514350</xdr:colOff>
      <xdr:row>48</xdr:row>
      <xdr:rowOff>9525</xdr:rowOff>
    </xdr:to>
    <xdr:sp macro="" textlink="">
      <xdr:nvSpPr>
        <xdr:cNvPr id="7172" name="CommandButton1" hidden="1">
          <a:extLst>
            <a:ext uri="{63B3BB69-23CF-44E3-9099-C40C66FF867C}">
              <a14:compatExt xmlns:a14="http://schemas.microsoft.com/office/drawing/2010/main" spid="_x0000_s7172"/>
            </a:ext>
            <a:ext uri="{FF2B5EF4-FFF2-40B4-BE49-F238E27FC236}">
              <a16:creationId xmlns:a16="http://schemas.microsoft.com/office/drawing/2014/main" id="{00000000-0008-0000-0800-0000041C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1</xdr:col>
      <xdr:colOff>0</xdr:colOff>
      <xdr:row>9</xdr:row>
      <xdr:rowOff>166688</xdr:rowOff>
    </xdr:from>
    <xdr:to>
      <xdr:col>1</xdr:col>
      <xdr:colOff>495299</xdr:colOff>
      <xdr:row>11</xdr:row>
      <xdr:rowOff>245268</xdr:rowOff>
    </xdr:to>
    <xdr:pic>
      <xdr:nvPicPr>
        <xdr:cNvPr id="24" name="Graphic 23" descr="Information">
          <a:extLst>
            <a:ext uri="{FF2B5EF4-FFF2-40B4-BE49-F238E27FC236}">
              <a16:creationId xmlns:a16="http://schemas.microsoft.com/office/drawing/2014/main" id="{00000000-0008-0000-0800-00001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07219" y="2035969"/>
          <a:ext cx="495299" cy="495299"/>
        </a:xfrm>
        <a:prstGeom prst="rect">
          <a:avLst/>
        </a:prstGeom>
      </xdr:spPr>
    </xdr:pic>
    <xdr:clientData/>
  </xdr:twoCellAnchor>
  <xdr:twoCellAnchor>
    <xdr:from>
      <xdr:col>1</xdr:col>
      <xdr:colOff>547688</xdr:colOff>
      <xdr:row>1</xdr:row>
      <xdr:rowOff>83343</xdr:rowOff>
    </xdr:from>
    <xdr:to>
      <xdr:col>9</xdr:col>
      <xdr:colOff>708819</xdr:colOff>
      <xdr:row>5</xdr:row>
      <xdr:rowOff>127794</xdr:rowOff>
    </xdr:to>
    <xdr:grpSp>
      <xdr:nvGrpSpPr>
        <xdr:cNvPr id="14" name="Group 13">
          <a:extLst>
            <a:ext uri="{FF2B5EF4-FFF2-40B4-BE49-F238E27FC236}">
              <a16:creationId xmlns:a16="http://schemas.microsoft.com/office/drawing/2014/main" id="{00000000-0008-0000-0800-00000E000000}"/>
            </a:ext>
          </a:extLst>
        </xdr:cNvPr>
        <xdr:cNvGrpSpPr/>
      </xdr:nvGrpSpPr>
      <xdr:grpSpPr>
        <a:xfrm>
          <a:off x="1152806" y="273843"/>
          <a:ext cx="9327542" cy="806451"/>
          <a:chOff x="600075" y="190500"/>
          <a:chExt cx="9340850" cy="806451"/>
        </a:xfrm>
      </xdr:grpSpPr>
      <xdr:sp macro="[0]!Rectangle4_Click" textlink="">
        <xdr:nvSpPr>
          <xdr:cNvPr id="15" name="Rectangle 14">
            <a:hlinkClick xmlns:r="http://schemas.openxmlformats.org/officeDocument/2006/relationships" r:id="rId3"/>
            <a:extLst>
              <a:ext uri="{FF2B5EF4-FFF2-40B4-BE49-F238E27FC236}">
                <a16:creationId xmlns:a16="http://schemas.microsoft.com/office/drawing/2014/main" id="{00000000-0008-0000-0800-00000F000000}"/>
              </a:ext>
            </a:extLst>
          </xdr:cNvPr>
          <xdr:cNvSpPr/>
        </xdr:nvSpPr>
        <xdr:spPr>
          <a:xfrm>
            <a:off x="600075" y="190501"/>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Introduction</a:t>
            </a:r>
          </a:p>
        </xdr:txBody>
      </xdr:sp>
      <xdr:sp macro="" textlink="">
        <xdr:nvSpPr>
          <xdr:cNvPr id="16" name="Rectangle 15">
            <a:hlinkClick xmlns:r="http://schemas.openxmlformats.org/officeDocument/2006/relationships" r:id="rId4"/>
            <a:extLst>
              <a:ext uri="{FF2B5EF4-FFF2-40B4-BE49-F238E27FC236}">
                <a16:creationId xmlns:a16="http://schemas.microsoft.com/office/drawing/2014/main" id="{00000000-0008-0000-0800-000010000000}"/>
              </a:ext>
            </a:extLst>
          </xdr:cNvPr>
          <xdr:cNvSpPr/>
        </xdr:nvSpPr>
        <xdr:spPr>
          <a:xfrm>
            <a:off x="1629300" y="190501"/>
            <a:ext cx="1016042"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Parameter Input</a:t>
            </a:r>
          </a:p>
        </xdr:txBody>
      </xdr:sp>
      <xdr:sp macro="" textlink="">
        <xdr:nvSpPr>
          <xdr:cNvPr id="17" name="Rectangle 16">
            <a:hlinkClick xmlns:r="http://schemas.openxmlformats.org/officeDocument/2006/relationships" r:id="rId5"/>
            <a:extLst>
              <a:ext uri="{FF2B5EF4-FFF2-40B4-BE49-F238E27FC236}">
                <a16:creationId xmlns:a16="http://schemas.microsoft.com/office/drawing/2014/main" id="{00000000-0008-0000-0800-000011000000}"/>
              </a:ext>
            </a:extLst>
          </xdr:cNvPr>
          <xdr:cNvSpPr/>
        </xdr:nvSpPr>
        <xdr:spPr>
          <a:xfrm>
            <a:off x="2652440" y="190501"/>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Stationary Combustion</a:t>
            </a:r>
          </a:p>
        </xdr:txBody>
      </xdr:sp>
      <xdr:sp macro="" textlink="">
        <xdr:nvSpPr>
          <xdr:cNvPr id="18" name="Rectangle 17">
            <a:hlinkClick xmlns:r="http://schemas.openxmlformats.org/officeDocument/2006/relationships" r:id="rId6"/>
            <a:extLst>
              <a:ext uri="{FF2B5EF4-FFF2-40B4-BE49-F238E27FC236}">
                <a16:creationId xmlns:a16="http://schemas.microsoft.com/office/drawing/2014/main" id="{00000000-0008-0000-0800-000012000000}"/>
              </a:ext>
            </a:extLst>
          </xdr:cNvPr>
          <xdr:cNvSpPr/>
        </xdr:nvSpPr>
        <xdr:spPr>
          <a:xfrm>
            <a:off x="3681664" y="190501"/>
            <a:ext cx="1016042"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Mobile Combustion</a:t>
            </a:r>
          </a:p>
        </xdr:txBody>
      </xdr:sp>
      <xdr:sp macro="" textlink="">
        <xdr:nvSpPr>
          <xdr:cNvPr id="19" name="Rectangle 18">
            <a:hlinkClick xmlns:r="http://schemas.openxmlformats.org/officeDocument/2006/relationships" r:id="rId7"/>
            <a:extLst>
              <a:ext uri="{FF2B5EF4-FFF2-40B4-BE49-F238E27FC236}">
                <a16:creationId xmlns:a16="http://schemas.microsoft.com/office/drawing/2014/main" id="{00000000-0008-0000-0800-000013000000}"/>
              </a:ext>
            </a:extLst>
          </xdr:cNvPr>
          <xdr:cNvSpPr/>
        </xdr:nvSpPr>
        <xdr:spPr>
          <a:xfrm>
            <a:off x="4704805" y="190501"/>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Refrigerants</a:t>
            </a:r>
          </a:p>
        </xdr:txBody>
      </xdr:sp>
      <xdr:sp macro="" textlink="">
        <xdr:nvSpPr>
          <xdr:cNvPr id="20" name="Rectangle 19">
            <a:hlinkClick xmlns:r="http://schemas.openxmlformats.org/officeDocument/2006/relationships" r:id="rId8"/>
            <a:extLst>
              <a:ext uri="{FF2B5EF4-FFF2-40B4-BE49-F238E27FC236}">
                <a16:creationId xmlns:a16="http://schemas.microsoft.com/office/drawing/2014/main" id="{00000000-0008-0000-0800-000014000000}"/>
              </a:ext>
            </a:extLst>
          </xdr:cNvPr>
          <xdr:cNvSpPr/>
        </xdr:nvSpPr>
        <xdr:spPr>
          <a:xfrm>
            <a:off x="5734029" y="190501"/>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2 Purchased Electricity</a:t>
            </a:r>
          </a:p>
        </xdr:txBody>
      </xdr:sp>
      <xdr:sp macro="" textlink="">
        <xdr:nvSpPr>
          <xdr:cNvPr id="21" name="Rectangle 20">
            <a:hlinkClick xmlns:r="http://schemas.openxmlformats.org/officeDocument/2006/relationships" r:id="rId9"/>
            <a:extLst>
              <a:ext uri="{FF2B5EF4-FFF2-40B4-BE49-F238E27FC236}">
                <a16:creationId xmlns:a16="http://schemas.microsoft.com/office/drawing/2014/main" id="{00000000-0008-0000-0800-000015000000}"/>
              </a:ext>
            </a:extLst>
          </xdr:cNvPr>
          <xdr:cNvSpPr/>
        </xdr:nvSpPr>
        <xdr:spPr>
          <a:xfrm>
            <a:off x="6763254" y="190501"/>
            <a:ext cx="1104396" cy="806450"/>
          </a:xfrm>
          <a:prstGeom prst="rect">
            <a:avLst/>
          </a:prstGeom>
          <a:solidFill>
            <a:schemeClr val="accent2">
              <a:lumMod val="60000"/>
              <a:lumOff val="40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3 Transportation</a:t>
            </a:r>
          </a:p>
        </xdr:txBody>
      </xdr:sp>
      <xdr:sp macro="" textlink="">
        <xdr:nvSpPr>
          <xdr:cNvPr id="22" name="Rectangle 21">
            <a:hlinkClick xmlns:r="http://schemas.openxmlformats.org/officeDocument/2006/relationships" r:id="rId10"/>
            <a:extLst>
              <a:ext uri="{FF2B5EF4-FFF2-40B4-BE49-F238E27FC236}">
                <a16:creationId xmlns:a16="http://schemas.microsoft.com/office/drawing/2014/main" id="{00000000-0008-0000-0800-000016000000}"/>
              </a:ext>
            </a:extLst>
          </xdr:cNvPr>
          <xdr:cNvSpPr/>
        </xdr:nvSpPr>
        <xdr:spPr>
          <a:xfrm>
            <a:off x="7880231" y="190501"/>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Result Summary</a:t>
            </a:r>
          </a:p>
        </xdr:txBody>
      </xdr:sp>
      <xdr:sp macro="" textlink="">
        <xdr:nvSpPr>
          <xdr:cNvPr id="23" name="Rectangle 22">
            <a:hlinkClick xmlns:r="http://schemas.openxmlformats.org/officeDocument/2006/relationships" r:id="rId11"/>
            <a:extLst>
              <a:ext uri="{FF2B5EF4-FFF2-40B4-BE49-F238E27FC236}">
                <a16:creationId xmlns:a16="http://schemas.microsoft.com/office/drawing/2014/main" id="{00000000-0008-0000-0800-000017000000}"/>
              </a:ext>
            </a:extLst>
          </xdr:cNvPr>
          <xdr:cNvSpPr/>
        </xdr:nvSpPr>
        <xdr:spPr>
          <a:xfrm>
            <a:off x="8914742" y="190500"/>
            <a:ext cx="1026183"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Emission Factors</a:t>
            </a: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13</xdr:col>
      <xdr:colOff>819150</xdr:colOff>
      <xdr:row>9</xdr:row>
      <xdr:rowOff>19050</xdr:rowOff>
    </xdr:from>
    <xdr:to>
      <xdr:col>15</xdr:col>
      <xdr:colOff>590550</xdr:colOff>
      <xdr:row>11</xdr:row>
      <xdr:rowOff>209550</xdr:rowOff>
    </xdr:to>
    <xdr:sp macro="" textlink="">
      <xdr:nvSpPr>
        <xdr:cNvPr id="2073" name="Button 25" hidden="1">
          <a:extLst>
            <a:ext uri="{63B3BB69-23CF-44E3-9099-C40C66FF867C}">
              <a14:compatExt xmlns:a14="http://schemas.microsoft.com/office/drawing/2010/main" spid="_x0000_s2073"/>
            </a:ext>
            <a:ext uri="{FF2B5EF4-FFF2-40B4-BE49-F238E27FC236}">
              <a16:creationId xmlns:a16="http://schemas.microsoft.com/office/drawing/2014/main" id="{00000000-0008-0000-0900-0000190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n-CA" sz="2000" b="0" i="0" u="none" strike="noStrike" baseline="0">
              <a:solidFill>
                <a:srgbClr val="000000"/>
              </a:solidFill>
              <a:latin typeface="Calibri"/>
              <a:cs typeface="Calibri"/>
            </a:rPr>
            <a:t>Print Results</a:t>
          </a:r>
        </a:p>
      </xdr:txBody>
    </xdr:sp>
    <xdr:clientData fPrintsWithSheet="0"/>
  </xdr:twoCellAnchor>
  <xdr:twoCellAnchor>
    <xdr:from>
      <xdr:col>1</xdr:col>
      <xdr:colOff>297657</xdr:colOff>
      <xdr:row>1</xdr:row>
      <xdr:rowOff>83345</xdr:rowOff>
    </xdr:from>
    <xdr:to>
      <xdr:col>2</xdr:col>
      <xdr:colOff>272033</xdr:colOff>
      <xdr:row>5</xdr:row>
      <xdr:rowOff>127795</xdr:rowOff>
    </xdr:to>
    <xdr:sp macro="[0]!Rectangle4_Click" textlink="">
      <xdr:nvSpPr>
        <xdr:cNvPr id="14" name="Rectangle 13">
          <a:hlinkClick xmlns:r="http://schemas.openxmlformats.org/officeDocument/2006/relationships" r:id="rId1"/>
          <a:extLst>
            <a:ext uri="{FF2B5EF4-FFF2-40B4-BE49-F238E27FC236}">
              <a16:creationId xmlns:a16="http://schemas.microsoft.com/office/drawing/2014/main" id="{00000000-0008-0000-0900-00000E000000}"/>
            </a:ext>
          </a:extLst>
        </xdr:cNvPr>
        <xdr:cNvSpPr/>
      </xdr:nvSpPr>
      <xdr:spPr>
        <a:xfrm>
          <a:off x="881063" y="273845"/>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Introduction</a:t>
          </a:r>
        </a:p>
      </xdr:txBody>
    </xdr:sp>
    <xdr:clientData/>
  </xdr:twoCellAnchor>
  <xdr:twoCellAnchor>
    <xdr:from>
      <xdr:col>2</xdr:col>
      <xdr:colOff>279132</xdr:colOff>
      <xdr:row>1</xdr:row>
      <xdr:rowOff>83345</xdr:rowOff>
    </xdr:from>
    <xdr:to>
      <xdr:col>2</xdr:col>
      <xdr:colOff>1295174</xdr:colOff>
      <xdr:row>5</xdr:row>
      <xdr:rowOff>127795</xdr:rowOff>
    </xdr:to>
    <xdr:sp macro="" textlink="">
      <xdr:nvSpPr>
        <xdr:cNvPr id="16" name="Rectangle 15">
          <a:hlinkClick xmlns:r="http://schemas.openxmlformats.org/officeDocument/2006/relationships" r:id="rId2"/>
          <a:extLst>
            <a:ext uri="{FF2B5EF4-FFF2-40B4-BE49-F238E27FC236}">
              <a16:creationId xmlns:a16="http://schemas.microsoft.com/office/drawing/2014/main" id="{00000000-0008-0000-0900-000010000000}"/>
            </a:ext>
          </a:extLst>
        </xdr:cNvPr>
        <xdr:cNvSpPr/>
      </xdr:nvSpPr>
      <xdr:spPr>
        <a:xfrm>
          <a:off x="1910288" y="273845"/>
          <a:ext cx="1016042"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Parameter Input</a:t>
          </a:r>
        </a:p>
      </xdr:txBody>
    </xdr:sp>
    <xdr:clientData/>
  </xdr:twoCellAnchor>
  <xdr:twoCellAnchor>
    <xdr:from>
      <xdr:col>2</xdr:col>
      <xdr:colOff>1302272</xdr:colOff>
      <xdr:row>1</xdr:row>
      <xdr:rowOff>83345</xdr:rowOff>
    </xdr:from>
    <xdr:to>
      <xdr:col>3</xdr:col>
      <xdr:colOff>395585</xdr:colOff>
      <xdr:row>5</xdr:row>
      <xdr:rowOff>127795</xdr:rowOff>
    </xdr:to>
    <xdr:sp macro="" textlink="">
      <xdr:nvSpPr>
        <xdr:cNvPr id="17" name="Rectangle 16">
          <a:hlinkClick xmlns:r="http://schemas.openxmlformats.org/officeDocument/2006/relationships" r:id="rId3"/>
          <a:extLst>
            <a:ext uri="{FF2B5EF4-FFF2-40B4-BE49-F238E27FC236}">
              <a16:creationId xmlns:a16="http://schemas.microsoft.com/office/drawing/2014/main" id="{00000000-0008-0000-0900-000011000000}"/>
            </a:ext>
          </a:extLst>
        </xdr:cNvPr>
        <xdr:cNvSpPr/>
      </xdr:nvSpPr>
      <xdr:spPr>
        <a:xfrm>
          <a:off x="2933428" y="273845"/>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Stationary Combustion</a:t>
          </a:r>
        </a:p>
      </xdr:txBody>
    </xdr:sp>
    <xdr:clientData/>
  </xdr:twoCellAnchor>
  <xdr:twoCellAnchor>
    <xdr:from>
      <xdr:col>3</xdr:col>
      <xdr:colOff>402683</xdr:colOff>
      <xdr:row>1</xdr:row>
      <xdr:rowOff>83345</xdr:rowOff>
    </xdr:from>
    <xdr:to>
      <xdr:col>3</xdr:col>
      <xdr:colOff>1418725</xdr:colOff>
      <xdr:row>5</xdr:row>
      <xdr:rowOff>127795</xdr:rowOff>
    </xdr:to>
    <xdr:sp macro="" textlink="">
      <xdr:nvSpPr>
        <xdr:cNvPr id="18" name="Rectangle 17">
          <a:hlinkClick xmlns:r="http://schemas.openxmlformats.org/officeDocument/2006/relationships" r:id="rId4"/>
          <a:extLst>
            <a:ext uri="{FF2B5EF4-FFF2-40B4-BE49-F238E27FC236}">
              <a16:creationId xmlns:a16="http://schemas.microsoft.com/office/drawing/2014/main" id="{00000000-0008-0000-0900-000012000000}"/>
            </a:ext>
          </a:extLst>
        </xdr:cNvPr>
        <xdr:cNvSpPr/>
      </xdr:nvSpPr>
      <xdr:spPr>
        <a:xfrm>
          <a:off x="3962652" y="273845"/>
          <a:ext cx="1016042"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Mobile Combustion</a:t>
          </a:r>
        </a:p>
      </xdr:txBody>
    </xdr:sp>
    <xdr:clientData/>
  </xdr:twoCellAnchor>
  <xdr:twoCellAnchor>
    <xdr:from>
      <xdr:col>3</xdr:col>
      <xdr:colOff>1425824</xdr:colOff>
      <xdr:row>1</xdr:row>
      <xdr:rowOff>83345</xdr:rowOff>
    </xdr:from>
    <xdr:to>
      <xdr:col>4</xdr:col>
      <xdr:colOff>852513</xdr:colOff>
      <xdr:row>5</xdr:row>
      <xdr:rowOff>127795</xdr:rowOff>
    </xdr:to>
    <xdr:sp macro="" textlink="">
      <xdr:nvSpPr>
        <xdr:cNvPr id="19" name="Rectangle 18">
          <a:hlinkClick xmlns:r="http://schemas.openxmlformats.org/officeDocument/2006/relationships" r:id="rId5"/>
          <a:extLst>
            <a:ext uri="{FF2B5EF4-FFF2-40B4-BE49-F238E27FC236}">
              <a16:creationId xmlns:a16="http://schemas.microsoft.com/office/drawing/2014/main" id="{00000000-0008-0000-0900-000013000000}"/>
            </a:ext>
          </a:extLst>
        </xdr:cNvPr>
        <xdr:cNvSpPr/>
      </xdr:nvSpPr>
      <xdr:spPr>
        <a:xfrm>
          <a:off x="4985793" y="273845"/>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1 Refrigerants</a:t>
          </a:r>
        </a:p>
      </xdr:txBody>
    </xdr:sp>
    <xdr:clientData/>
  </xdr:twoCellAnchor>
  <xdr:twoCellAnchor>
    <xdr:from>
      <xdr:col>4</xdr:col>
      <xdr:colOff>859611</xdr:colOff>
      <xdr:row>1</xdr:row>
      <xdr:rowOff>83345</xdr:rowOff>
    </xdr:from>
    <xdr:to>
      <xdr:col>4</xdr:col>
      <xdr:colOff>1881737</xdr:colOff>
      <xdr:row>5</xdr:row>
      <xdr:rowOff>127795</xdr:rowOff>
    </xdr:to>
    <xdr:sp macro="" textlink="">
      <xdr:nvSpPr>
        <xdr:cNvPr id="20" name="Rectangle 19">
          <a:hlinkClick xmlns:r="http://schemas.openxmlformats.org/officeDocument/2006/relationships" r:id="rId6"/>
          <a:extLst>
            <a:ext uri="{FF2B5EF4-FFF2-40B4-BE49-F238E27FC236}">
              <a16:creationId xmlns:a16="http://schemas.microsoft.com/office/drawing/2014/main" id="{00000000-0008-0000-0900-000014000000}"/>
            </a:ext>
          </a:extLst>
        </xdr:cNvPr>
        <xdr:cNvSpPr/>
      </xdr:nvSpPr>
      <xdr:spPr>
        <a:xfrm>
          <a:off x="6015017" y="273845"/>
          <a:ext cx="102212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2 Purchased Electricity</a:t>
          </a:r>
        </a:p>
      </xdr:txBody>
    </xdr:sp>
    <xdr:clientData/>
  </xdr:twoCellAnchor>
  <xdr:twoCellAnchor>
    <xdr:from>
      <xdr:col>4</xdr:col>
      <xdr:colOff>1888836</xdr:colOff>
      <xdr:row>1</xdr:row>
      <xdr:rowOff>83345</xdr:rowOff>
    </xdr:from>
    <xdr:to>
      <xdr:col>4</xdr:col>
      <xdr:colOff>2993232</xdr:colOff>
      <xdr:row>5</xdr:row>
      <xdr:rowOff>127795</xdr:rowOff>
    </xdr:to>
    <xdr:sp macro="" textlink="">
      <xdr:nvSpPr>
        <xdr:cNvPr id="21" name="Rectangle 20">
          <a:hlinkClick xmlns:r="http://schemas.openxmlformats.org/officeDocument/2006/relationships" r:id="rId7"/>
          <a:extLst>
            <a:ext uri="{FF2B5EF4-FFF2-40B4-BE49-F238E27FC236}">
              <a16:creationId xmlns:a16="http://schemas.microsoft.com/office/drawing/2014/main" id="{00000000-0008-0000-0900-000015000000}"/>
            </a:ext>
          </a:extLst>
        </xdr:cNvPr>
        <xdr:cNvSpPr/>
      </xdr:nvSpPr>
      <xdr:spPr>
        <a:xfrm>
          <a:off x="7044242" y="273845"/>
          <a:ext cx="1104396"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Scope 3 Transportation</a:t>
          </a:r>
        </a:p>
      </xdr:txBody>
    </xdr:sp>
    <xdr:clientData/>
  </xdr:twoCellAnchor>
  <xdr:twoCellAnchor>
    <xdr:from>
      <xdr:col>4</xdr:col>
      <xdr:colOff>3005813</xdr:colOff>
      <xdr:row>1</xdr:row>
      <xdr:rowOff>83345</xdr:rowOff>
    </xdr:from>
    <xdr:to>
      <xdr:col>5</xdr:col>
      <xdr:colOff>110782</xdr:colOff>
      <xdr:row>5</xdr:row>
      <xdr:rowOff>127795</xdr:rowOff>
    </xdr:to>
    <xdr:sp macro="" textlink="">
      <xdr:nvSpPr>
        <xdr:cNvPr id="22" name="Rectangle 21">
          <a:hlinkClick xmlns:r="http://schemas.openxmlformats.org/officeDocument/2006/relationships" r:id="rId8"/>
          <a:extLst>
            <a:ext uri="{FF2B5EF4-FFF2-40B4-BE49-F238E27FC236}">
              <a16:creationId xmlns:a16="http://schemas.microsoft.com/office/drawing/2014/main" id="{00000000-0008-0000-0900-000016000000}"/>
            </a:ext>
          </a:extLst>
        </xdr:cNvPr>
        <xdr:cNvSpPr/>
      </xdr:nvSpPr>
      <xdr:spPr>
        <a:xfrm>
          <a:off x="8161219" y="273845"/>
          <a:ext cx="1022126" cy="806450"/>
        </a:xfrm>
        <a:prstGeom prst="rect">
          <a:avLst/>
        </a:prstGeom>
        <a:solidFill>
          <a:schemeClr val="accent2">
            <a:lumMod val="60000"/>
            <a:lumOff val="40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Result Summary</a:t>
          </a:r>
        </a:p>
      </xdr:txBody>
    </xdr:sp>
    <xdr:clientData/>
  </xdr:twoCellAnchor>
  <xdr:twoCellAnchor>
    <xdr:from>
      <xdr:col>5</xdr:col>
      <xdr:colOff>123167</xdr:colOff>
      <xdr:row>1</xdr:row>
      <xdr:rowOff>83344</xdr:rowOff>
    </xdr:from>
    <xdr:to>
      <xdr:col>6</xdr:col>
      <xdr:colOff>101600</xdr:colOff>
      <xdr:row>5</xdr:row>
      <xdr:rowOff>127794</xdr:rowOff>
    </xdr:to>
    <xdr:sp macro="" textlink="">
      <xdr:nvSpPr>
        <xdr:cNvPr id="23" name="Rectangle 22">
          <a:hlinkClick xmlns:r="http://schemas.openxmlformats.org/officeDocument/2006/relationships" r:id="rId9"/>
          <a:extLst>
            <a:ext uri="{FF2B5EF4-FFF2-40B4-BE49-F238E27FC236}">
              <a16:creationId xmlns:a16="http://schemas.microsoft.com/office/drawing/2014/main" id="{00000000-0008-0000-0900-000017000000}"/>
            </a:ext>
          </a:extLst>
        </xdr:cNvPr>
        <xdr:cNvSpPr/>
      </xdr:nvSpPr>
      <xdr:spPr>
        <a:xfrm>
          <a:off x="9195730" y="273844"/>
          <a:ext cx="1026183" cy="806450"/>
        </a:xfrm>
        <a:prstGeom prst="rect">
          <a:avLst/>
        </a:prstGeom>
        <a:solidFill>
          <a:schemeClr val="bg1">
            <a:lumMod val="7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Emission Factors</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onewri-my.sharepoint.com/Users/NoorShaikh/Desktop/Anthesis%20Documents/GHG%20Inventory%20Tool_2020_V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IDANCE"/>
      <sheetName val="Data overview"/>
      <sheetName val="Data collection template"/>
      <sheetName val="KEY RESULTS"/>
      <sheetName val="Results facilities"/>
      <sheetName val="Results CDP"/>
      <sheetName val="Results DJSI"/>
      <sheetName val="Results GRI"/>
      <sheetName val="Parameters"/>
      <sheetName val="Facility_Info"/>
      <sheetName val="INVENTORY"/>
      <sheetName val="Emission factors"/>
      <sheetName val="Mobile EF"/>
      <sheetName val="SOURCES_US EPA"/>
      <sheetName val="SOURCES_various"/>
      <sheetName val="SOURCES_IEA"/>
      <sheetName val="Dropdowns"/>
      <sheetName val="REF_GWP"/>
      <sheetName val="REF_Conversions"/>
      <sheetName val="REF_OtherUnitConversions"/>
      <sheetName val="REF_Building_Intensity"/>
      <sheetName val="REF_Zipcodes eGRI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8">
          <cell r="A8" t="str">
            <v>Emission source</v>
          </cell>
          <cell r="B8" t="str">
            <v>Standardized unit</v>
          </cell>
        </row>
        <row r="9">
          <cell r="A9" t="str">
            <v>Electricity</v>
          </cell>
          <cell r="B9" t="str">
            <v>kWh</v>
          </cell>
        </row>
        <row r="10">
          <cell r="A10" t="str">
            <v>Electricity - Residual</v>
          </cell>
          <cell r="B10" t="str">
            <v>kWh</v>
          </cell>
        </row>
        <row r="11">
          <cell r="A11" t="str">
            <v>Diesel Fuel / Distillate Fuel Oil No. 2</v>
          </cell>
          <cell r="B11" t="str">
            <v>gal (US)</v>
          </cell>
        </row>
        <row r="12">
          <cell r="A12" t="str">
            <v>Gasoline</v>
          </cell>
          <cell r="B12" t="str">
            <v>gal (US)</v>
          </cell>
        </row>
        <row r="13">
          <cell r="A13" t="str">
            <v>Natural Gas</v>
          </cell>
          <cell r="B13" t="str">
            <v>therm</v>
          </cell>
        </row>
        <row r="14">
          <cell r="A14" t="str">
            <v>Propane</v>
          </cell>
          <cell r="B14" t="str">
            <v>gal (US)</v>
          </cell>
        </row>
        <row r="15">
          <cell r="A15" t="str">
            <v>Liquefied Petroleum Gases (LPG)</v>
          </cell>
          <cell r="B15" t="str">
            <v>gal (US)</v>
          </cell>
        </row>
        <row r="16">
          <cell r="A16" t="str">
            <v>Residual Fuel Oil No. 6</v>
          </cell>
          <cell r="B16" t="str">
            <v>gal (US)</v>
          </cell>
        </row>
        <row r="17">
          <cell r="A17" t="str">
            <v>Kerosene</v>
          </cell>
          <cell r="B17" t="str">
            <v>gal (US)</v>
          </cell>
        </row>
        <row r="18">
          <cell r="A18" t="str">
            <v>Landfill Gas</v>
          </cell>
          <cell r="B18" t="str">
            <v>mmBtu</v>
          </cell>
        </row>
        <row r="19">
          <cell r="A19" t="str">
            <v>Other Biomass Gases</v>
          </cell>
          <cell r="B19" t="str">
            <v>mmBtu</v>
          </cell>
        </row>
        <row r="20">
          <cell r="A20" t="str">
            <v>Biodiesel (100%)</v>
          </cell>
          <cell r="B20" t="str">
            <v>gal (US)</v>
          </cell>
        </row>
        <row r="21">
          <cell r="A21" t="str">
            <v>Ethanol (100%)</v>
          </cell>
          <cell r="B21" t="str">
            <v>gal (US)</v>
          </cell>
        </row>
        <row r="22">
          <cell r="A22" t="str">
            <v>Refrigerants</v>
          </cell>
          <cell r="B22" t="str">
            <v>kg</v>
          </cell>
        </row>
        <row r="23">
          <cell r="A23" t="str">
            <v>Aviation Gasoline</v>
          </cell>
          <cell r="B23" t="str">
            <v>gal (US)</v>
          </cell>
        </row>
        <row r="24">
          <cell r="A24" t="str">
            <v>Jet Fuel</v>
          </cell>
          <cell r="B24" t="str">
            <v>gal (US)</v>
          </cell>
        </row>
        <row r="25">
          <cell r="A25" t="str">
            <v>Purchased heat  / steam</v>
          </cell>
          <cell r="B25" t="str">
            <v>mmBtu</v>
          </cell>
        </row>
        <row r="26">
          <cell r="A26" t="str">
            <v>Chilled Water</v>
          </cell>
          <cell r="B26" t="str">
            <v>mmBtu</v>
          </cell>
        </row>
        <row r="27">
          <cell r="A27" t="str">
            <v>Motor Gasoline - Mobile</v>
          </cell>
          <cell r="B27" t="str">
            <v>gal (US)</v>
          </cell>
        </row>
        <row r="28">
          <cell r="A28" t="str">
            <v>Diesel Fuel - Mobile</v>
          </cell>
          <cell r="B28" t="str">
            <v>gal (US)</v>
          </cell>
        </row>
        <row r="29">
          <cell r="A29" t="str">
            <v>Biodiesel (100%) - Mobile</v>
          </cell>
          <cell r="B29" t="str">
            <v>gal (US)</v>
          </cell>
        </row>
        <row r="30">
          <cell r="A30" t="str">
            <v>Compressed Natural Gas - Mobile</v>
          </cell>
          <cell r="B30" t="str">
            <v>scf</v>
          </cell>
        </row>
        <row r="31">
          <cell r="A31" t="str">
            <v>Ethanol (100%) - Mobile</v>
          </cell>
          <cell r="B31" t="str">
            <v>gal (US)</v>
          </cell>
        </row>
        <row r="32">
          <cell r="A32" t="str">
            <v>Jet Fuel - Mobile</v>
          </cell>
          <cell r="B32" t="str">
            <v>gal (US)</v>
          </cell>
        </row>
        <row r="33">
          <cell r="A33" t="str">
            <v>Aviation Gasoline - Mobile</v>
          </cell>
          <cell r="B33" t="str">
            <v>gal (US)</v>
          </cell>
        </row>
        <row r="34">
          <cell r="A34" t="str">
            <v>Electricity - Mobile</v>
          </cell>
          <cell r="B34" t="str">
            <v>kWh</v>
          </cell>
        </row>
        <row r="35">
          <cell r="A35" t="str">
            <v>Air travel -  Short Haul (&lt;300 miles)</v>
          </cell>
          <cell r="B35" t="str">
            <v>passenger-mile</v>
          </cell>
        </row>
        <row r="36">
          <cell r="A36" t="str">
            <v>Air Travel - Medium Haul (&gt;= 300 miles, &lt; 2300 miles) - Average passenger</v>
          </cell>
          <cell r="B36" t="str">
            <v>passenger-mile</v>
          </cell>
        </row>
        <row r="37">
          <cell r="A37" t="str">
            <v>Air Travel - Medium Haul (&gt;= 300 miles, &lt; 2300 miles) - Economy class</v>
          </cell>
          <cell r="B37" t="str">
            <v>passenger-mile</v>
          </cell>
        </row>
        <row r="38">
          <cell r="A38" t="str">
            <v>Air Travel - Medium Haul (&gt;= 300 miles, &lt; 2300 miles) - Business class</v>
          </cell>
          <cell r="B38" t="str">
            <v>passenger-mile</v>
          </cell>
        </row>
        <row r="39">
          <cell r="A39" t="str">
            <v>Air Travel - Long Haul (&gt;= 2300 miles) - Average passenger</v>
          </cell>
          <cell r="B39" t="str">
            <v>passenger-mile</v>
          </cell>
        </row>
        <row r="40">
          <cell r="A40" t="str">
            <v>Air Travel - Long Haul (&gt;= 2300 miles) - Economy passenger</v>
          </cell>
          <cell r="B40" t="str">
            <v>passenger-mile</v>
          </cell>
        </row>
        <row r="41">
          <cell r="A41" t="str">
            <v>Air Travel - Long Haul (&gt;= 2300 miles) - Premium economy class</v>
          </cell>
          <cell r="B41" t="str">
            <v>passenger-mile</v>
          </cell>
        </row>
        <row r="42">
          <cell r="A42" t="str">
            <v>Air Travel - Long Haul (&gt;= 2300 miles) - Business class</v>
          </cell>
          <cell r="B42" t="str">
            <v>passenger-mile</v>
          </cell>
        </row>
        <row r="43">
          <cell r="A43" t="str">
            <v>Air Travel - Long Haul (&gt;= 2300 miles) - First class</v>
          </cell>
          <cell r="B43" t="str">
            <v>passenger-mile</v>
          </cell>
        </row>
        <row r="44">
          <cell r="A44" t="str">
            <v>Passenger Car - Business travel</v>
          </cell>
          <cell r="B44" t="str">
            <v>vehicle-mile</v>
          </cell>
        </row>
        <row r="45">
          <cell r="A45" t="str">
            <v>Light-Duty Truck - Business travel</v>
          </cell>
          <cell r="B45" t="str">
            <v>vehicle-mile</v>
          </cell>
        </row>
        <row r="46">
          <cell r="A46" t="str">
            <v>Motorcycle - Business travel</v>
          </cell>
          <cell r="B46" t="str">
            <v>vehicle-mile</v>
          </cell>
        </row>
        <row r="47">
          <cell r="A47" t="str">
            <v>Intercity Rail (i.e. Amtrak) - Business travel</v>
          </cell>
          <cell r="B47" t="str">
            <v>passenger-mile</v>
          </cell>
        </row>
        <row r="48">
          <cell r="A48" t="str">
            <v>Commuter Rail - Business travel</v>
          </cell>
          <cell r="B48" t="str">
            <v>passenger-mile</v>
          </cell>
        </row>
        <row r="49">
          <cell r="A49" t="str">
            <v>Transit Rail (i.e. Subway, Tram) - Business travel</v>
          </cell>
          <cell r="B49" t="str">
            <v>passenger-mile</v>
          </cell>
        </row>
        <row r="50">
          <cell r="A50" t="str">
            <v>Bus - Business travel</v>
          </cell>
          <cell r="B50" t="str">
            <v>passenger-mile</v>
          </cell>
        </row>
        <row r="51">
          <cell r="A51" t="str">
            <v>Data Center PUE</v>
          </cell>
          <cell r="B51" t="str">
            <v>kWh</v>
          </cell>
        </row>
        <row r="52">
          <cell r="A52" t="str">
            <v>Hotel stay Average</v>
          </cell>
          <cell r="B52" t="str">
            <v>room per night</v>
          </cell>
        </row>
        <row r="53">
          <cell r="A53" t="str">
            <v>Hotel stay EUROPE</v>
          </cell>
          <cell r="B53" t="str">
            <v>room per night</v>
          </cell>
        </row>
        <row r="54">
          <cell r="A54" t="str">
            <v>Hotel stay MEA</v>
          </cell>
          <cell r="B54" t="str">
            <v>room per night</v>
          </cell>
        </row>
        <row r="55">
          <cell r="A55" t="str">
            <v>Hotel stay AMER</v>
          </cell>
          <cell r="B55" t="str">
            <v>room per night</v>
          </cell>
        </row>
        <row r="56">
          <cell r="A56" t="str">
            <v>Hotel stay APAC</v>
          </cell>
          <cell r="B56" t="str">
            <v>room per night</v>
          </cell>
        </row>
        <row r="57">
          <cell r="A57" t="str">
            <v>Hotel stay Argentina</v>
          </cell>
          <cell r="B57" t="str">
            <v>room per night</v>
          </cell>
        </row>
        <row r="58">
          <cell r="A58" t="str">
            <v>Hotel stay Australia</v>
          </cell>
          <cell r="B58" t="str">
            <v>room per night</v>
          </cell>
        </row>
        <row r="59">
          <cell r="A59" t="str">
            <v>Hotel stay Austria</v>
          </cell>
          <cell r="B59" t="str">
            <v>room per night</v>
          </cell>
        </row>
        <row r="60">
          <cell r="A60" t="str">
            <v>Hotel stay Belgium</v>
          </cell>
          <cell r="B60" t="str">
            <v>room per night</v>
          </cell>
        </row>
        <row r="61">
          <cell r="A61" t="str">
            <v>Hotel stay Brazil</v>
          </cell>
          <cell r="B61" t="str">
            <v>room per night</v>
          </cell>
        </row>
        <row r="62">
          <cell r="A62" t="str">
            <v>Hotel stay Canada</v>
          </cell>
          <cell r="B62" t="str">
            <v>room per night</v>
          </cell>
        </row>
        <row r="63">
          <cell r="A63" t="str">
            <v>Hotel stay Caribbean Region</v>
          </cell>
          <cell r="B63" t="str">
            <v>room per night</v>
          </cell>
        </row>
        <row r="64">
          <cell r="A64" t="str">
            <v>Hotel stay Chile</v>
          </cell>
          <cell r="B64" t="str">
            <v>room per night</v>
          </cell>
        </row>
        <row r="65">
          <cell r="A65" t="str">
            <v>Hotel stay China</v>
          </cell>
          <cell r="B65" t="str">
            <v>room per night</v>
          </cell>
        </row>
        <row r="66">
          <cell r="A66" t="str">
            <v>Hotel stay China (Hong Kong)</v>
          </cell>
          <cell r="B66" t="str">
            <v>room per night</v>
          </cell>
        </row>
        <row r="67">
          <cell r="A67" t="str">
            <v>Hotel stay Colombia</v>
          </cell>
          <cell r="B67" t="str">
            <v>room per night</v>
          </cell>
        </row>
        <row r="68">
          <cell r="A68" t="str">
            <v>Hotel stay Costa Rica</v>
          </cell>
          <cell r="B68" t="str">
            <v>room per night</v>
          </cell>
        </row>
        <row r="69">
          <cell r="A69" t="str">
            <v>Hotel stay Czech Republic</v>
          </cell>
          <cell r="B69" t="str">
            <v>room per night</v>
          </cell>
        </row>
        <row r="70">
          <cell r="A70" t="str">
            <v>Hotel stay Egypt</v>
          </cell>
          <cell r="B70" t="str">
            <v>room per night</v>
          </cell>
        </row>
        <row r="71">
          <cell r="A71" t="str">
            <v>Hotel stay France</v>
          </cell>
          <cell r="B71" t="str">
            <v>room per night</v>
          </cell>
        </row>
        <row r="72">
          <cell r="A72" t="str">
            <v>Hotel stay Germany</v>
          </cell>
          <cell r="B72" t="str">
            <v>room per night</v>
          </cell>
        </row>
        <row r="73">
          <cell r="A73" t="str">
            <v>Hotel stay Greece</v>
          </cell>
          <cell r="B73" t="str">
            <v>room per night</v>
          </cell>
        </row>
        <row r="74">
          <cell r="A74" t="str">
            <v>Hotel stay India</v>
          </cell>
          <cell r="B74" t="str">
            <v>room per night</v>
          </cell>
        </row>
        <row r="75">
          <cell r="A75" t="str">
            <v>Hotel stay Indonesia</v>
          </cell>
          <cell r="B75" t="str">
            <v>room per night</v>
          </cell>
        </row>
        <row r="76">
          <cell r="A76" t="str">
            <v>Hotel stay Ireland</v>
          </cell>
          <cell r="B76" t="str">
            <v>room per night</v>
          </cell>
        </row>
        <row r="77">
          <cell r="A77" t="str">
            <v>Hotel stay Israel</v>
          </cell>
          <cell r="B77" t="str">
            <v>room per night</v>
          </cell>
        </row>
        <row r="78">
          <cell r="A78" t="str">
            <v>Hotel stay Italy</v>
          </cell>
          <cell r="B78" t="str">
            <v>room per night</v>
          </cell>
        </row>
        <row r="79">
          <cell r="A79" t="str">
            <v>Hotel stay Japan</v>
          </cell>
          <cell r="B79" t="str">
            <v>room per night</v>
          </cell>
        </row>
        <row r="80">
          <cell r="A80" t="str">
            <v>Hotel stay Jordan</v>
          </cell>
          <cell r="B80" t="str">
            <v>room per night</v>
          </cell>
        </row>
        <row r="81">
          <cell r="A81" t="str">
            <v>Hotel stay Malaysia</v>
          </cell>
          <cell r="B81" t="str">
            <v>room per night</v>
          </cell>
        </row>
        <row r="82">
          <cell r="A82" t="str">
            <v>Hotel stay Mexico</v>
          </cell>
          <cell r="B82" t="str">
            <v>room per night</v>
          </cell>
        </row>
        <row r="83">
          <cell r="A83" t="str">
            <v>Hotel stay Netherlands</v>
          </cell>
          <cell r="B83" t="str">
            <v>room per night</v>
          </cell>
        </row>
        <row r="84">
          <cell r="A84" t="str">
            <v>Hotel stay New Zealand</v>
          </cell>
          <cell r="B84" t="str">
            <v>room per night</v>
          </cell>
        </row>
        <row r="85">
          <cell r="A85" t="str">
            <v>Hotel stay Panama</v>
          </cell>
          <cell r="B85" t="str">
            <v>room per night</v>
          </cell>
        </row>
        <row r="86">
          <cell r="A86" t="str">
            <v>Hotel stay Philippines</v>
          </cell>
          <cell r="B86" t="str">
            <v>room per night</v>
          </cell>
        </row>
        <row r="87">
          <cell r="A87" t="str">
            <v>Hotel stay Poland</v>
          </cell>
          <cell r="B87" t="str">
            <v>room per night</v>
          </cell>
        </row>
        <row r="88">
          <cell r="A88" t="str">
            <v>Hotel stay Portugal</v>
          </cell>
          <cell r="B88" t="str">
            <v>room per night</v>
          </cell>
        </row>
        <row r="89">
          <cell r="A89" t="str">
            <v>Hotel stay Qatar</v>
          </cell>
          <cell r="B89" t="str">
            <v>room per night</v>
          </cell>
        </row>
        <row r="90">
          <cell r="A90" t="str">
            <v>Hotel stay Russian Federation</v>
          </cell>
          <cell r="B90" t="str">
            <v>room per night</v>
          </cell>
        </row>
        <row r="91">
          <cell r="A91" t="str">
            <v>Hotel stay Saudi Arabia</v>
          </cell>
          <cell r="B91" t="str">
            <v>room per night</v>
          </cell>
        </row>
        <row r="92">
          <cell r="A92" t="str">
            <v>Hotel stay Singapore</v>
          </cell>
          <cell r="B92" t="str">
            <v>room per night</v>
          </cell>
        </row>
        <row r="93">
          <cell r="A93" t="str">
            <v>Hotel stay South Africa</v>
          </cell>
          <cell r="B93" t="str">
            <v>room per night</v>
          </cell>
        </row>
        <row r="94">
          <cell r="A94" t="str">
            <v>Hotel stay South Korea</v>
          </cell>
          <cell r="B94" t="str">
            <v>room per night</v>
          </cell>
        </row>
        <row r="95">
          <cell r="A95" t="str">
            <v>Hotel stay Spain</v>
          </cell>
          <cell r="B95" t="str">
            <v>room per night</v>
          </cell>
        </row>
        <row r="96">
          <cell r="A96" t="str">
            <v>Hotel stay Switzerland</v>
          </cell>
          <cell r="B96" t="str">
            <v>room per night</v>
          </cell>
        </row>
        <row r="97">
          <cell r="A97" t="str">
            <v>Hotel stay Taiwan</v>
          </cell>
          <cell r="B97" t="str">
            <v>room per night</v>
          </cell>
        </row>
        <row r="98">
          <cell r="A98" t="str">
            <v>Hotel stay Thailand</v>
          </cell>
          <cell r="B98" t="str">
            <v>room per night</v>
          </cell>
        </row>
        <row r="99">
          <cell r="A99" t="str">
            <v>Hotel stay Turkey</v>
          </cell>
          <cell r="B99" t="str">
            <v>room per night</v>
          </cell>
        </row>
        <row r="100">
          <cell r="A100" t="str">
            <v>Hotel stay United Arab Emirates</v>
          </cell>
          <cell r="B100" t="str">
            <v>room per night</v>
          </cell>
        </row>
        <row r="101">
          <cell r="A101" t="str">
            <v>Hotel stay UK</v>
          </cell>
          <cell r="B101" t="str">
            <v>room per night</v>
          </cell>
        </row>
        <row r="102">
          <cell r="A102" t="str">
            <v>Hotel stay United States</v>
          </cell>
          <cell r="B102" t="str">
            <v>room per night</v>
          </cell>
        </row>
        <row r="103">
          <cell r="A103" t="str">
            <v>Hotel stay Vietnam</v>
          </cell>
          <cell r="B103" t="str">
            <v>room per night</v>
          </cell>
        </row>
      </sheetData>
      <sheetData sheetId="19" refreshError="1"/>
      <sheetData sheetId="20" refreshError="1"/>
      <sheetData sheetId="21"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4E135BA-4239-4185-968F-8D541D23B6DA}" name="Table3" displayName="Table3" ref="C42:G52" totalsRowShown="0" headerRowDxfId="328" dataDxfId="326" headerRowBorderDxfId="327" tableBorderDxfId="325" totalsRowBorderDxfId="324">
  <tableColumns count="5">
    <tableColumn id="1" xr3:uid="{2E469BA9-7AB3-4927-A783-4BC7FB4A6558}" name="Facility info" dataDxfId="323"/>
    <tableColumn id="2" xr3:uid="{E059544B-5514-4CAD-89B5-A7DCB6502524}" name="Location (City)" dataDxfId="322"/>
    <tableColumn id="3" xr3:uid="{868B38BE-3D1C-4A64-BB70-397F4C256403}" name="Location (Country)" dataDxfId="321"/>
    <tableColumn id="4" xr3:uid="{54ACBA81-357B-4D8D-8C43-571A039C463F}" name="Facility ID" dataDxfId="320">
      <calculatedColumnFormula>ROW(I43)-ROW($J$42)</calculatedColumnFormula>
    </tableColumn>
    <tableColumn id="5" xr3:uid="{A692242F-7687-4B04-936B-132AD2B968D2}" name="Grid Region" dataDxfId="319"/>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F282E1AF-B23B-4394-85C7-CE9DF541E2D7}" name="Custom_EF" displayName="Custom_EF" ref="C65:N94" headerRowCount="0" totalsRowShown="0" headerRowDxfId="318" dataDxfId="316" headerRowBorderDxfId="317" tableBorderDxfId="315" totalsRowBorderDxfId="314">
  <tableColumns count="12">
    <tableColumn id="1" xr3:uid="{7FD2A441-4F02-40A9-B1E6-ECAE84AE5128}" name="Column1" headerRowDxfId="313" dataDxfId="312"/>
    <tableColumn id="2" xr3:uid="{EED6FE3B-9205-46E6-AC97-32401B328EB8}" name="Column2" headerRowDxfId="311" dataDxfId="310"/>
    <tableColumn id="3" xr3:uid="{08D2B1D2-0EB3-46E8-9844-0894250D3C96}" name="Column3" headerRowDxfId="309" dataDxfId="308"/>
    <tableColumn id="4" xr3:uid="{CCE002ED-BE9F-46F3-AC60-7B765676CB09}" name="Column4" headerRowDxfId="307" dataDxfId="306"/>
    <tableColumn id="5" xr3:uid="{6C645561-52E3-4B92-8533-68AEEB3FB503}" name="Column5" headerRowDxfId="305" dataDxfId="304"/>
    <tableColumn id="6" xr3:uid="{A4D94400-5251-4429-8AC6-947C8232733B}" name="Column6" headerRowDxfId="303" dataDxfId="302"/>
    <tableColumn id="7" xr3:uid="{9B340740-6E6C-4404-A6A3-CD6AA63F0B8B}" name="Column7" headerRowDxfId="301" dataDxfId="300"/>
    <tableColumn id="8" xr3:uid="{BBA94472-9A2E-47D7-BDC3-3C4063F8C4A0}" name="Column8" headerRowDxfId="299" dataDxfId="298"/>
    <tableColumn id="9" xr3:uid="{F0453E6A-A66E-41CD-8C10-BD9C32D4C3AD}" name="Column9" headerRowDxfId="297" dataDxfId="296">
      <calculatedColumnFormula>IFERROR(IF(Parameters!$D$19="5th Assessment", (G65*Data!$AJ$5)+(H65*Data!$AJ$6)+(I65*Data!$AJ$7), (G65*Data!$AI$5)+(H65*Data!$AI$6)+(I65*Data!$AI$7)), "")</calculatedColumnFormula>
    </tableColumn>
    <tableColumn id="14" xr3:uid="{FFBC75C7-CCA0-4278-AEFC-60208E1E7899}" name="Column11" headerRowDxfId="295" dataDxfId="294"/>
    <tableColumn id="10" xr3:uid="{AAEC646A-EDC0-440C-8723-BA6856DA181B}" name="Column10" headerRowDxfId="293" dataDxfId="292"/>
    <tableColumn id="13" xr3:uid="{5D19ECFE-3671-4F87-995A-A1D2AF861107}" name="Column13" headerRowDxfId="291" dataDxfId="290"/>
  </tableColumns>
  <tableStyleInfo name="TableStyleLight8"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E70D0B53-4F46-4345-82D3-F6495CC5F11D}" name="EF_Stationary_Combustion" displayName="EF_Stationary_Combustion" ref="B10:K83" totalsRowShown="0" headerRowDxfId="289" dataDxfId="288">
  <tableColumns count="10">
    <tableColumn id="1" xr3:uid="{B7BC97BF-2D88-42E1-AE26-9F7CE646A9A7}" name="Fuel Type" dataDxfId="287"/>
    <tableColumn id="2" xr3:uid="{8277537E-A200-43E1-84F1-7ECCD7994F18}" name="Heat Content (HHV)" dataDxfId="286"/>
    <tableColumn id="3" xr3:uid="{427A0B02-0160-4134-86BD-A3F266EB4E1A}" name="CO2 Factor_x000a_(kg CO2 per mmBtu)" dataDxfId="285"/>
    <tableColumn id="4" xr3:uid="{806B7CD9-8A2B-477E-90C5-5E03990FA45C}" name="CH4 Factor_x000a_(g CH4 per mmBtu)" dataDxfId="284"/>
    <tableColumn id="5" xr3:uid="{170A4010-9792-4DC3-8BE0-FE7A02C4A400}" name="N2O Factor_x000a_(g N2O per mmBtu)" dataDxfId="283"/>
    <tableColumn id="10" xr3:uid="{476D7759-8C44-47C2-8807-B493EBD8044A}" name="Biogenic CO2 Factor_x000a_(kg Biogenic CO2 per mmBtu)" dataDxfId="282"/>
    <tableColumn id="11" xr3:uid="{DD97B1EF-FCA6-481B-9241-61501A82C66F}" name="AR4_x000a_(kgCO2e)" dataDxfId="281"/>
    <tableColumn id="12" xr3:uid="{653F094D-2EDD-42C8-8893-3C0B9C2E0610}" name="AR5_x000a_(kgCO2e)" dataDxfId="280"/>
    <tableColumn id="13" xr3:uid="{26F7832F-D9C8-492D-93AF-B0E4C2EA32BF}" name="Units" dataDxfId="279"/>
    <tableColumn id="6" xr3:uid="{B2652DC7-1A18-4D98-A14A-52FEE0C1A4F1}" name="Source" dataDxfId="278"/>
  </tableColumns>
  <tableStyleInfo name="TableStyleLight14" showFirstColumn="0" showLastColumn="0" showRowStripes="1" showColumnStripes="1"/>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57D51D4C-B85F-49E2-8C38-C299B222A6A3}" name="Mobile_S1_EF" displayName="Mobile_S1_EF" ref="B235:O261" totalsRowShown="0" headerRowDxfId="277" dataDxfId="276">
  <tableColumns count="14">
    <tableColumn id="1" xr3:uid="{E7FFEF2B-2A97-423B-857D-0409D6AFF988}" name="Mobile Fuel" dataDxfId="275"/>
    <tableColumn id="2" xr3:uid="{21DFCE3D-990E-44AF-804D-CE42F1586735}" name="Column1" dataDxfId="274"/>
    <tableColumn id="3" xr3:uid="{A7D6C055-CFCC-457D-BE37-72D7980BFFDD}" name="CO2 Factor_x000a_(kg / unit)" dataDxfId="273"/>
    <tableColumn id="4" xr3:uid="{C4EE4B51-8952-483C-A1BE-3DD0EC759DBC}" name="CH4 Factor_x000a_(kg / unit)" dataDxfId="272"/>
    <tableColumn id="5" xr3:uid="{CE3C9F68-3E8E-415B-933D-F3F1B2746F70}" name="N2O Factor_x000a_(kg / unit)" dataDxfId="271"/>
    <tableColumn id="6" xr3:uid="{92A72AC7-D158-4D83-A3D6-EA96EAF1601D}" name="Biogenic CO2_x000a_(kg Biogenic CO2 per mmBtu)" dataDxfId="270"/>
    <tableColumn id="7" xr3:uid="{F5A922D3-CFE5-42BD-8CA6-0F511BF02651}" name="AR4_x000a_(kgCO2e)" dataDxfId="269">
      <calculatedColumnFormula>(Mobile_S1_EF[[#This Row],[CO2 Factor
(kg / unit)]]*Data!$AI$5)+(Mobile_S1_EF[[#This Row],[CH4 Factor
(kg / unit)]]*Data!$AI$6)+(Mobile_S1_EF[[#This Row],[N2O Factor
(kg / unit)]]*Data!$AI$7)</calculatedColumnFormula>
    </tableColumn>
    <tableColumn id="8" xr3:uid="{D5F783CE-CCD6-43DA-BAC3-3622F6E61C93}" name="AR5_x000a_(kgCO2e)" dataDxfId="268">
      <calculatedColumnFormula>(Mobile_S1_EF[[#This Row],[CO2 Factor
(kg / unit)]]*Data!$AJ$5)+(Mobile_S1_EF[[#This Row],[CH4 Factor
(kg / unit)]]*Data!$AJ$6)+(Mobile_S1_EF[[#This Row],[N2O Factor
(kg / unit)]]*Data!$AJ$7)</calculatedColumnFormula>
    </tableColumn>
    <tableColumn id="9" xr3:uid="{0EE8EC7B-CEF2-4CFF-8D4A-C44B4BB04A7E}" name="Standardized unit" dataDxfId="267"/>
    <tableColumn id="11" xr3:uid="{BA41886F-FFFF-47AA-BFE4-2D807D4A55DE}" name="Source" dataDxfId="266"/>
    <tableColumn id="12" xr3:uid="{12185947-4D6B-4E6B-9D50-EDBA0E7492D7}" name="Default Average Fuel Efficiency (mpg/mpge)" dataDxfId="265"/>
    <tableColumn id="13" xr3:uid="{AD9C497B-9060-4826-AF74-3B5A2F63FACD}" name="MPG Units" dataDxfId="264"/>
    <tableColumn id="14" xr3:uid="{4FE9D6E7-0630-4B64-B0C3-F48ED9DEC012}" name="kg CO4" dataDxfId="263"/>
    <tableColumn id="15" xr3:uid="{E389B4FA-A096-402F-8AB7-B4BF2B058E0B}" name="kg NO2" dataDxfId="262"/>
  </tableColumns>
  <tableStyleInfo name="TableStyleLight14" showFirstColumn="0" showLastColumn="0" showRowStripes="1" showColumnStripes="1"/>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D1377F38-269E-4952-8F8D-27BA9836F08A}" name="S3_Transport_EF" displayName="S3_Transport_EF" ref="B421:K514" totalsRowShown="0" headerRowDxfId="261" dataDxfId="259" headerRowBorderDxfId="260" tableBorderDxfId="258">
  <tableColumns count="10">
    <tableColumn id="1" xr3:uid="{0BB77654-0FC1-415F-A1FE-590DEB634F4C}" name="Lookup name" dataDxfId="257"/>
    <tableColumn id="2" xr3:uid="{AE48385D-5F78-4227-8BDB-548D3183C76E}" name="Column1" dataDxfId="256"/>
    <tableColumn id="3" xr3:uid="{2C6F827E-2798-4C3A-9AEB-B6E0604B56BC}" name="CO2 Factor_x000a_(kg / unit)" dataDxfId="255"/>
    <tableColumn id="4" xr3:uid="{FCE422BD-0215-499F-92D0-D8C1B67C511B}" name="CH4 Factor_x000a_(g / unit)" dataDxfId="254"/>
    <tableColumn id="5" xr3:uid="{489964B1-EC40-4B48-B948-B5B85FA8B8BF}" name="N2O Factor_x000a_(g / unit)" dataDxfId="253"/>
    <tableColumn id="6" xr3:uid="{533F915B-F95F-4512-A4BA-79C550473654}" name="Biofuel?" dataDxfId="252"/>
    <tableColumn id="7" xr3:uid="{E9C99400-BF77-4E12-BDFD-D20693454899}" name="AR4_x000a_(kgCO2e)" dataDxfId="251">
      <calculatedColumnFormula>(D422*Data!$AI$5)+((E422/1000)*Data!$AI$6)+((F422/1000)*Data!$AI$7)</calculatedColumnFormula>
    </tableColumn>
    <tableColumn id="8" xr3:uid="{FE546A47-8925-4966-A208-A21611C95134}" name="AR5_x000a_(kgCO2e)" dataDxfId="250">
      <calculatedColumnFormula>(D422*Data!$AJ$5)+((E422/1000)*Data!$AJ$6)+((F422/1000)*Data!$AJ$7)</calculatedColumnFormula>
    </tableColumn>
    <tableColumn id="9" xr3:uid="{FD7315BC-791B-484E-8D23-A3208C026535}" name="Units" dataDxfId="249"/>
    <tableColumn id="10" xr3:uid="{846E0B9D-C469-49D3-8974-D48CAC57E813}" name="Source" dataDxfId="248"/>
  </tableColumns>
  <tableStyleInfo name="TableStyleLight14" showFirstColumn="0" showLastColumn="0" showRowStripes="1" showColumnStripes="1"/>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2BFB35E-69CE-49ED-882F-6B4CB5C81E9E}" name="Table5" displayName="Table5" ref="B633:K687" totalsRowShown="0" headerRowDxfId="247" dataDxfId="246">
  <tableColumns count="10">
    <tableColumn id="1" xr3:uid="{0C70ACBE-D2E3-4408-9BF8-4F95C1334F02}" name="Grid Region - Location Based" dataDxfId="245"/>
    <tableColumn id="2" xr3:uid="{04E47AEC-5179-449D-B049-AE2DC9C463A2}" name="Column2" dataDxfId="244"/>
    <tableColumn id="3" xr3:uid="{31F4F852-EED7-4F6D-AFB3-63F6C54DAA8D}" name="CO2 Factor_x000a_(kg/kWh)" dataDxfId="243"/>
    <tableColumn id="4" xr3:uid="{01EED2E1-BDBD-47C1-966F-06DB80428363}" name="CH4 Factor_x000a_(kg/kWh)" dataDxfId="242"/>
    <tableColumn id="5" xr3:uid="{38D30B18-8551-4C48-A57D-5E6323A5213C}" name="N2O Factor_x000a_(kg/kWh)" dataDxfId="241"/>
    <tableColumn id="6" xr3:uid="{8C758B49-67C0-42A7-B1F8-63483C4F66E2}" name="Column1" dataDxfId="240"/>
    <tableColumn id="7" xr3:uid="{1CEAB56F-1A0D-454C-A12C-2E0871800603}" name="AR4_x000a_(kgCO2e)" dataDxfId="239"/>
    <tableColumn id="8" xr3:uid="{BBAF57D2-5DA8-40E4-8BC9-2168035FEA79}" name="AR5_x000a_(kgCO2e)" dataDxfId="238"/>
    <tableColumn id="9" xr3:uid="{355999D2-B4E5-40E7-BCE9-F7A86DFF6C2D}" name="Units" dataDxfId="237"/>
    <tableColumn id="10" xr3:uid="{F951518B-A8A1-4995-AE3B-3635CF0644C0}" name="Source" dataDxfId="236"/>
  </tableColumns>
  <tableStyleInfo name="TableStyleLight14" showFirstColumn="0" showLastColumn="0" showRowStripes="1" showColumnStripes="1"/>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4E19C2F3-608A-42DE-A951-9648131E8C33}" name="Table6" displayName="Table6" ref="B793:K858" totalsRowShown="0" headerRowDxfId="235" dataDxfId="234">
  <tableColumns count="10">
    <tableColumn id="1" xr3:uid="{6D129925-55BF-4C8E-9773-FE588613B3DB}" name="eGrid Subregion - Residual Mix - Market Based" dataDxfId="233"/>
    <tableColumn id="2" xr3:uid="{02BD9D5E-2C26-4F35-B807-DF7C937D9490}" name="Units" dataDxfId="232"/>
    <tableColumn id="3" xr3:uid="{5311B348-B257-4263-B4A9-20C55EC00871}" name="CO2 Factor_x000a_(kg/kWh)" dataDxfId="231"/>
    <tableColumn id="4" xr3:uid="{311628AF-7A95-41A2-810D-196CC8536511}" name="CH4 Factor_x000a_(kg/kWh)" dataDxfId="230"/>
    <tableColumn id="5" xr3:uid="{A40016E6-DE75-4033-A48C-79DB9AFFAC39}" name="N2O Factor_x000a_(kg/kWh)" dataDxfId="229"/>
    <tableColumn id="6" xr3:uid="{37F6274A-7760-48F6-BBF0-91D984AC036A}" name="Column1" dataDxfId="228"/>
    <tableColumn id="7" xr3:uid="{A3E4C50D-42FD-40E5-BB2B-736100461043}" name="AR4_x000a_(kgCO2e)" dataDxfId="227"/>
    <tableColumn id="8" xr3:uid="{55D111F6-649A-48AF-8AD1-42E0FE165A3C}" name="AR5_x000a_(kgCO2e)" dataDxfId="226"/>
    <tableColumn id="9" xr3:uid="{736E910E-DE3C-4C3E-B24B-0A7C69AA0FFF}" name="Units2" dataDxfId="225"/>
    <tableColumn id="10" xr3:uid="{4278FB85-FFB6-4E06-861F-4D6848D4AFAD}" name="Source" dataDxfId="224"/>
  </tableColumns>
  <tableStyleInfo name="TableStyleLight14" showFirstColumn="0" showLastColumn="0" showRowStripes="1" showColumnStripes="1"/>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5056E6F-5EFC-4B9B-9211-07969FC500E4}" name="Table7" displayName="Table7" ref="B957:F1025" totalsRowShown="0" headerRowDxfId="223" dataDxfId="222">
  <tableColumns count="5">
    <tableColumn id="5" xr3:uid="{51CDB9B6-DF75-4956-B024-C1556B2D92B4}" name="Lookup Name" dataDxfId="221"/>
    <tableColumn id="1" xr3:uid="{1973AE4F-9A46-4ABC-B01A-4AC42330350F}" name="AR4 (kgCO2e)" dataDxfId="220"/>
    <tableColumn id="2" xr3:uid="{281E65DF-0885-4A6F-9135-FA45F1AFB71E}" name="AR5 (kgCO2e)" dataDxfId="219"/>
    <tableColumn id="3" xr3:uid="{25333865-96C8-45B6-B10A-80902136EB37}" name="Blend Composition" dataDxfId="218"/>
    <tableColumn id="4" xr3:uid="{D27A7EAF-203D-415F-850B-6A7AAB4B1922}" name="Source" dataDxfId="217"/>
  </tableColumns>
  <tableStyleInfo name="TableStyleLight14" showFirstColumn="0" showLastColumn="0" showRowStripes="1" showColumnStripes="1"/>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58C0BEC-6865-4BDE-9C2F-0E912BC644C4}" name="Table8" displayName="Table8" ref="B863:J864" totalsRowShown="0" headerRowDxfId="216" dataDxfId="215">
  <tableColumns count="9">
    <tableColumn id="1" xr3:uid="{5BBBC432-FA31-4C47-937F-71F7521CCD1B}" name="Name" dataDxfId="214"/>
    <tableColumn id="2" xr3:uid="{6ADCC395-0218-4873-A241-88683A96D39F}" name="Column1" dataDxfId="213"/>
    <tableColumn id="3" xr3:uid="{BE7EDC4F-BDA3-4469-98FB-81DB21C22687}" name="CO2 Factor (kgCO2e)" dataDxfId="212"/>
    <tableColumn id="4" xr3:uid="{4DD5E4AA-7DD9-4B08-B718-9361B36AE4BF}" name="CH4 Factor (kgCO2e)" dataDxfId="211"/>
    <tableColumn id="5" xr3:uid="{AECF08EF-9E7C-43C2-AA7E-F96C9153009B}" name="N2O Factor (kgCO2e)" dataDxfId="210"/>
    <tableColumn id="6" xr3:uid="{0A4A553E-9774-495E-997A-1A085C96CFFF}" name="Column2" dataDxfId="209"/>
    <tableColumn id="7" xr3:uid="{BB8EFA48-B9B1-4457-AE3E-4837B5119286}" name="AR4 (kgCO2e)" dataDxfId="208"/>
    <tableColumn id="8" xr3:uid="{838E96F4-1FD9-4ABA-80FE-26E4C60F0C31}" name="AR5 (kgCO2e)" dataDxfId="207"/>
    <tableColumn id="9" xr3:uid="{C2D3FB81-1A3F-477B-A297-1DECAD182B79}" name="Units" dataDxfId="206"/>
  </tableColumns>
  <tableStyleInfo name="TableStyleLight14" showFirstColumn="0" showLastColumn="0" showRowStripes="1" showColumnStripes="1"/>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B3D54E51-60B4-43E5-BC7C-743FD66899DB}" name="Table11" displayName="Table11" ref="B1029:H1064" totalsRowShown="0" headerRowDxfId="205" dataDxfId="204">
  <autoFilter ref="B1029:H1064" xr:uid="{E12A483C-5513-4C6E-82B0-2CA38685B2E4}"/>
  <tableColumns count="7">
    <tableColumn id="1" xr3:uid="{A9AAE0EF-E1CD-4DFF-9EC7-AB219DB1DAB2}" name="Common Name" dataDxfId="203"/>
    <tableColumn id="2" xr3:uid="{14ABCB36-D971-4198-98FB-1725FAC8F6A0}" name="Formula" dataDxfId="202"/>
    <tableColumn id="3" xr3:uid="{73A14C6C-1C5B-4411-82D5-C20EB7C0A548}" name="Chemical Name" dataDxfId="201"/>
    <tableColumn id="4" xr3:uid="{08143F61-A9FF-452A-9B1B-1DE060227E03}" name="AR4" dataDxfId="200"/>
    <tableColumn id="5" xr3:uid="{55E81C13-A192-466B-973D-7747A1FB3B7E}" name="Source 1" dataDxfId="199"/>
    <tableColumn id="6" xr3:uid="{C522A405-6148-4ECE-B054-EDC67BDFDE2B}" name="AR5" dataDxfId="198"/>
    <tableColumn id="7" xr3:uid="{9DE71142-178E-44AA-A7A8-4C2D4E6B8A72}" name="Source 2" dataDxfId="197"/>
  </tableColumns>
  <tableStyleInfo name="TableStyleLight14"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C3271254-1907-4F53-AD83-06E78628F48B}" name="Table12" displayName="Table12" ref="B1066:H1129" totalsRowShown="0" headerRowDxfId="196" dataDxfId="195">
  <autoFilter ref="B1066:H1129" xr:uid="{608D4D1F-98C7-48C6-BC55-12A381913C88}"/>
  <tableColumns count="7">
    <tableColumn id="1" xr3:uid="{A9E038A8-49C1-4793-8C06-DFCB306CC3AF}" name="Refrigerant Blend"/>
    <tableColumn id="2" xr3:uid="{404368FC-B2BB-419D-A2DF-533D87B7B011}" name="Gas"/>
    <tableColumn id="3" xr3:uid="{8E878463-9FC7-42C1-8C51-5069B65A7D07}" name="--"/>
    <tableColumn id="4" xr3:uid="{C07B78DD-851C-468A-9720-60520F5EF3DA}" name="AR4" dataDxfId="194"/>
    <tableColumn id="5" xr3:uid="{D7D27ABA-0E62-4528-B21F-800FD9CD52C7}" name="Column1" dataDxfId="193"/>
    <tableColumn id="6" xr3:uid="{4C3E048A-57DE-4B00-B5D4-E8CE4448729D}" name="AR5" dataDxfId="192"/>
    <tableColumn id="7" xr3:uid="{26BC6BD4-C43E-443E-9434-562883D04CF6}" name="Column2" dataDxfId="191"/>
  </tableColumns>
  <tableStyleInfo name="TableStyleLight14"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89365F81-9AEC-4B1D-9F47-B54EB1B00BA1}" name="Table17" displayName="Table17" ref="B1131:H1196" totalsRowShown="0" headerRowDxfId="190" dataDxfId="188" headerRowBorderDxfId="189">
  <autoFilter ref="B1131:H1196" xr:uid="{A892519A-075B-4320-B159-FBF5BC6CEE3A}"/>
  <tableColumns count="7">
    <tableColumn id="1" xr3:uid="{50E6F5D1-9BA1-4B79-8A08-23770CE7E007}" name="Common Name" dataDxfId="187"/>
    <tableColumn id="2" xr3:uid="{16248E9F-4702-4975-A053-CB3DFDA08138}" name="Formula" dataDxfId="186"/>
    <tableColumn id="3" xr3:uid="{C0F90D3E-388E-4834-9BEF-26FAF65F786A}" name="Chemical Name" dataDxfId="185"/>
    <tableColumn id="4" xr3:uid="{5DFF9BB6-3AE7-46B9-BD36-13AA2DAE4BD5}" name="AR4" dataDxfId="184"/>
    <tableColumn id="5" xr3:uid="{3F9AF1D9-CEFF-4F33-A960-91C0F9C5BD48}" name="Column1" dataDxfId="183"/>
    <tableColumn id="6" xr3:uid="{732E30B6-6943-4166-A81C-585C44691B88}" name="AR5" dataDxfId="182"/>
    <tableColumn id="7" xr3:uid="{D6D95859-FB04-492E-B540-C42DBF523DA8}" name="Column2" dataDxfId="181"/>
  </tableColumns>
  <tableStyleInfo name="TableStyleLight14"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E018672-0AE2-4186-B22E-83D9610F0FEF}" name="Stationary_Combustion" displayName="Stationary_Combustion" ref="C21:O74" totalsRowShown="0" headerRowDxfId="180" headerRowBorderDxfId="179" tableBorderDxfId="178" totalsRowBorderDxfId="177">
  <tableColumns count="13">
    <tableColumn id="1" xr3:uid="{9E19C3DB-52F3-4A17-B74D-E4FFD5CAD459}" name="Facility ID" dataDxfId="176"/>
    <tableColumn id="2" xr3:uid="{9DB08595-2B3B-4102-A023-EC2F2CE22E79}" name="Year" dataDxfId="175"/>
    <tableColumn id="3" xr3:uid="{B7E4DC13-721C-41C2-BFE6-5699C9EBDAAE}" name="Custom Emission Factors?" dataDxfId="174"/>
    <tableColumn id="4" xr3:uid="{06755475-3436-477D-A9A8-1D6D9CEDC5EB}" name="Fuel" dataDxfId="173"/>
    <tableColumn id="5" xr3:uid="{1E83FBFD-009D-43AF-B968-2801BAC209FA}" name="Amount of fuel" dataDxfId="172"/>
    <tableColumn id="6" xr3:uid="{A0A77A0A-CE04-4A8D-BF70-D11706225208}" name="Units_x000a_(e.g., kg or kWh)" dataDxfId="171"/>
    <tableColumn id="8" xr3:uid="{2A937699-3A69-40F0-A680-AD0F0C2EA566}" name="CO2 (tonnes)" dataDxfId="170">
      <calculatedColumnFormula>IF(Stationary_Combustion[[#This Row],[Custom Emission Factors?]]="No", _xlfn.IFNA((VLOOKUP(Stationary_Combustion[[#This Row],[Fuel]], EF_Stationary_Combustion[], 3, FALSE)/IF(VLOOKUP(Stationary_Combustion[[#This Row],[Fuel]], EF_Stationary_Combustion[], 9,FALSE) ='S1-Stationary Combustion'!H22, 1, VLOOKUP(VLOOKUP(Stationary_Combustion[[#This Row],[Fuel]], EF_Stationary_Combustion[], 9,FALSE)&amp;"_to_"&amp;'S1-Stationary Combustion'!H22,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Combustion'!H22, 1, VLOOKUP(VLOOKUP(Stationary_Combustion[[#This Row],[Fuel]], Custom_EF[], 11,FALSE)&amp;"_to_"&amp;'S1-Stationary Combustion'!H22, Conversions!$B$52:$F$162, Conversions!$E$52, FALSE))*Stationary_Combustion[[#This Row],[Amount of fuel]]/1000), ""))</calculatedColumnFormula>
    </tableColumn>
    <tableColumn id="9" xr3:uid="{4E23C05F-D3FF-4B0E-9D0D-DDE9421FCD35}" name="CH4 (tonnes)" dataDxfId="169">
      <calculatedColumnFormula>IF(Stationary_Combustion[[#This Row],[Custom Emission Factors?]]="No", _xlfn.IFNA((VLOOKUP(Stationary_Combustion[[#This Row],[Fuel]], EF_Stationary_Combustion[], 4, FALSE)/IF(VLOOKUP(Stationary_Combustion[[#This Row],[Fuel]], EF_Stationary_Combustion[], 9,FALSE) ='S1-Stationary Combustion'!H22, 1, VLOOKUP(VLOOKUP(Stationary_Combustion[[#This Row],[Fuel]], EF_Stationary_Combustion[], 9,FALSE)&amp;"_to_"&amp;'S1-Stationary Combustion'!H22,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Combustion'!H22, 1, VLOOKUP(VLOOKUP(Stationary_Combustion[[#This Row],[Fuel]], Custom_EF[], 11,FALSE)&amp;"_to_"&amp;'S1-Stationary Combustion'!H22, Conversions!$B$52:$F$162, Conversions!$E$52, FALSE))*Stationary_Combustion[[#This Row],[Amount of fuel]]/1000), ""))</calculatedColumnFormula>
    </tableColumn>
    <tableColumn id="10" xr3:uid="{4B54DA8B-FD35-4531-A669-F80106AE626D}" name="N2O (tonnes)" dataDxfId="168">
      <calculatedColumnFormula>IF(Stationary_Combustion[[#This Row],[Custom Emission Factors?]]="No", _xlfn.IFNA((VLOOKUP(Stationary_Combustion[[#This Row],[Fuel]], EF_Stationary_Combustion[], 5, FALSE)/IF(VLOOKUP(Stationary_Combustion[[#This Row],[Fuel]], EF_Stationary_Combustion[], 9,FALSE) ='S1-Stationary Combustion'!H22, 1, VLOOKUP(VLOOKUP(Stationary_Combustion[[#This Row],[Fuel]], EF_Stationary_Combustion[], 9,FALSE)&amp;"_to_"&amp;'S1-Stationary Combustion'!H22,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Combustion'!H22, 1, VLOOKUP(VLOOKUP(Stationary_Combustion[[#This Row],[Fuel]], Custom_EF[], 11,FALSE)&amp;"_to_"&amp;'S1-Stationary Combustion'!H22, Conversions!$B$52:$F$162, Conversions!$E$52, FALSE))*Stationary_Combustion[[#This Row],[Amount of fuel]]/1000), ""))</calculatedColumnFormula>
    </tableColumn>
    <tableColumn id="11" xr3:uid="{D1F1067D-EE08-4E10-9D59-E2A9C5002EED}" name="CO2e (tonnes)" dataDxfId="167">
      <calculatedColumnFormula>IFERROR(IF(Parameters!$D$19="2014 IPCC Fifth Assessment", (I22*Data!$AJ$5)+(J22*Data!$AJ$6)+(K22*Data!$AJ$7), (I22*Data!$AI$5)+(J22*Data!$AI$6)+(K22*Data!$AI$7)), "")</calculatedColumnFormula>
    </tableColumn>
    <tableColumn id="14" xr3:uid="{8E6BCDDF-E26E-4C16-B857-4474ECED891D}" name="Biofuel CO2_x000a_(tonnes)" dataDxfId="166">
      <calculatedColumnFormula>IF(Stationary_Combustion[[#This Row],[Custom Emission Factors?]]="No", _xlfn.IFNA((VLOOKUP(Stationary_Combustion[[#This Row],[Fuel]], EF_Stationary_Combustion[], 6, FALSE)/IF(VLOOKUP(Stationary_Combustion[[#This Row],[Fuel]], EF_Stationary_Combustion[], 9,FALSE) ='S1-Stationary Combustion'!H22, 1, VLOOKUP(VLOOKUP(Stationary_Combustion[[#This Row],[Fuel]], EF_Stationary_Combustion[], 9,FALSE)&amp;"_to_"&amp;'S1-Stationary Combustion'!H22,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Combustion'!H22, 1, VLOOKUP(VLOOKUP(Stationary_Combustion[[#This Row],[Fuel]], Custom_EF[], 10,FALSE)&amp;"_to_"&amp;'S1-Stationary Combustion'!H22, Conversions!$B$52:$F$162, Conversions!$E$52, FALSE))*Stationary_Combustion[[#This Row],[Amount of fuel]]/1000), ""))</calculatedColumnFormula>
    </tableColumn>
    <tableColumn id="12" xr3:uid="{E22D5969-A012-4D0B-BD52-2462E6A0EA8D}" name="EF (kgCO2e/unit)" dataDxfId="165">
      <calculatedColumnFormula>IF(Stationary_Combustion[[#This Row],[Custom Emission Factors?]]="No", _xlfn.IFNA(VLOOKUP(F22, EF_Stationary_Combustion[], IF(Parameters!$D$19="2014 IPCC Fifth Assessment", 'Emission Factors'!$I$9, 'Emission Factors'!$H$9), FALSE), ""), _xlfn.IFNA(VLOOKUP(Stationary_Combustion[[#This Row],[Fuel]], Custom_EF[], 9, FALSE), ""))</calculatedColumnFormula>
    </tableColumn>
    <tableColumn id="13" xr3:uid="{906232F0-0FA3-41EB-86EA-6E5EBBD60BAD}" name="Source" dataDxfId="164">
      <calculatedColumnFormula>IF(Stationary_Combustion[[#This Row],[EF (kgCO2e/unit)]]="", "", IF(Stationary_Combustion[[#This Row],[Custom Emission Factors?]]="Yes", VLOOKUP(Stationary_Combustion[[#This Row],[Fuel]], Custom_EF[], 4, FALSE), VLOOKUP(Stationary_Combustion[[#This Row],[Fuel]], EF_Stationary_Combustion[#All], 10, FALSE)))</calculatedColumnFormula>
    </tableColumn>
  </tableColumns>
  <tableStyleInfo name="TableStyleLight8"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4A35A3F6-CCAE-497D-9812-80F6F89F0CB4}" name="Table13" displayName="Table13" ref="C24:R48" headerRowCount="0" totalsRowShown="0" headerRowDxfId="163" dataDxfId="161" headerRowBorderDxfId="162" tableBorderDxfId="160" totalsRowBorderDxfId="159" headerRowCellStyle="Normal_Stationary_combustion_tool_GL1">
  <tableColumns count="16">
    <tableColumn id="1" xr3:uid="{68F04031-FF9B-4DCA-A5B1-769934B55E77}" name="Column1" headerRowDxfId="158" dataDxfId="157" headerRowCellStyle="Normal_Stationary_combustion_tool_GL1"/>
    <tableColumn id="2" xr3:uid="{2E12FE9B-5E5A-4064-A133-4206274F456D}" name="Column2" headerRowDxfId="156" dataDxfId="155" headerRowCellStyle="Normal_Stationary_combustion_tool_GL1"/>
    <tableColumn id="3" xr3:uid="{32DC4543-903D-455D-BC6B-8BA7E183EABE}" name="Column3" headerRowDxfId="154" dataDxfId="153" headerRowCellStyle="Normal_Stationary_combustion_tool_GL1" dataCellStyle="Normal_Stationary_combustion_tool_GL1"/>
    <tableColumn id="4" xr3:uid="{56FD7B2C-3970-4E88-885A-466A291D5AE7}" name="Column4" headerRowDxfId="152" dataDxfId="151" headerRowCellStyle="Normal_Stationary_combustion_tool_GL1" dataCellStyle="Normal_Stationary_combustion_tool_GL1"/>
    <tableColumn id="5" xr3:uid="{E7D42B19-C69F-41B0-B99C-17EBBDF7E1D4}" name="Column5" headerRowDxfId="150" dataDxfId="149" headerRowCellStyle="Normal_Stationary_combustion_tool_GL1" dataCellStyle="Normal_Stationary_combustion_tool_GL1"/>
    <tableColumn id="6" xr3:uid="{930760E1-817E-4A72-9C6B-BBA80B9E0FD3}" name="Column6" headerRowDxfId="148" dataDxfId="147" headerRowCellStyle="Normal_Stationary_combustion_tool_GL1"/>
    <tableColumn id="9" xr3:uid="{753CC34F-D8A8-48BC-A29B-E1D65F81EA4E}" name="Column9" headerRowDxfId="146" dataDxfId="145" headerRowCellStyle="Normal_Stationary_combustion_tool_GL1"/>
    <tableColumn id="19" xr3:uid="{E4E1300E-BB54-4C82-9C26-3184BE3A77EC}" name="Column19" headerRowDxfId="144" dataDxfId="143" headerRowCellStyle="Normal_Stationary_combustion_tool_GL1">
      <calculatedColumnFormula>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calculatedColumnFormula>
    </tableColumn>
    <tableColumn id="10" xr3:uid="{E7A7CCF4-6E8C-4648-B3C5-1A9AC30BD623}" name="Column10" headerRowDxfId="142" dataDxfId="141" headerRowCellStyle="Normal_Stationary_combustion_tool_GL1" dataCellStyle="Normal_Stationary_combustion_tool_GL1"/>
    <tableColumn id="11" xr3:uid="{CDCB707A-0707-4510-908F-B98666E167B9}" name="Column11" headerRowDxfId="140" dataDxfId="139" headerRowCellStyle="Normal_Stationary_combustion_tool_GL1">
      <calculatedColumnFormula>IF(Table13[[#This Row],[Column4]]="Fuel Use", _xlfn.IFNA((VLOOKUP(G24&amp;" - "&amp;H24, Mobile_S1_EF[], 'Emission Factors'!$D$234, FALSE)/IF(VLOOKUP(G24&amp;" - "&amp;H24, Mobile_S1_EF[], 9,FALSE) =Table13[[#This Row],[Column10]], 1, VLOOKUP(VLOOKUP(G24&amp;" - "&amp;H24, Mobile_S1_EF[], 9,FALSE)&amp;"_to_"&amp;Table13[[#This Row],[Column10]], Conversions!$B$52:$F$162, Conversions!$E$52, FALSE))*Table13[[#This Row],[Column9]]/1000), ""), IF(Table13[[#This Row],[Column4]]="Distance Activity", _xlfn.IFNA((VLOOKUP(G24&amp;" - "&amp;H24,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calculatedColumnFormula>
    </tableColumn>
    <tableColumn id="12" xr3:uid="{75A45CB5-D311-4250-8B99-308965FB5382}" name="Column12" headerRowDxfId="138" dataDxfId="137" headerRowCellStyle="Normal_Stationary_combustion_tool_GL1">
      <calculatedColumnFormula>IF(Table13[[#This Row],[Column4]]="Fuel Use", _xlfn.IFNA((VLOOKUP(G24&amp;" - "&amp;H24, Mobile_S1_EF[], 'Emission Factors'!$E$234, FALSE)/IF(VLOOKUP(G24&amp;" - "&amp;H24, Mobile_S1_EF[], 9,FALSE) =Table13[[#This Row],[Column10]], 1, VLOOKUP(VLOOKUP(G24&amp;" - "&amp;H24, Mobile_S1_EF[], 9,FALSE)&amp;"_to_"&amp;Table13[[#This Row],[Column10]], Conversions!$B$52:$F$162, Conversions!$E$52, FALSE))*Table13[[#This Row],[Column9]]/1000), ""), IF(Table13[[#This Row],[Column4]]="Distance Activity", _xlfn.IFNA((VLOOKUP(G24&amp;" - "&amp;H24,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calculatedColumnFormula>
    </tableColumn>
    <tableColumn id="13" xr3:uid="{C46517E7-D492-4E75-A252-6DEA988EC4CF}" name="Column13" headerRowDxfId="136" dataDxfId="135" headerRowCellStyle="Normal_Stationary_combustion_tool_GL1">
      <calculatedColumnFormula>IF(Table13[[#This Row],[Column4]]="Fuel Use", _xlfn.IFNA((VLOOKUP(G24&amp;" - "&amp;H24, Mobile_S1_EF[], 'Emission Factors'!$F$234, FALSE)/IF(VLOOKUP(G24&amp;" - "&amp;H24, Mobile_S1_EF[], 9,FALSE) =Table13[[#This Row],[Column10]], 1, VLOOKUP(VLOOKUP(G24&amp;" - "&amp;H24,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calculatedColumnFormula>
    </tableColumn>
    <tableColumn id="14" xr3:uid="{D0F13A13-6312-41E6-AC92-920ED666840A}" name="Column14" headerRowDxfId="134" dataDxfId="133" headerRowCellStyle="Normal_Stationary_combustion_tool_GL1">
      <calculatedColumnFormula>IFERROR(IF(Parameters!$D$19="2014 IPCC Fifth Assessment", (Table13[[#This Row],[Column11]]*Data!$AJ$5)+(Table13[[#This Row],[Column12]]*Data!$AJ$6)+(Table13[[#This Row],[Column13]]*Data!$AJ$7), (Table13[[#This Row],[Column11]]*Data!$AI$5)+(Table13[[#This Row],[Column12]]*Data!$AI$6)+(Table13[[#This Row],[Column13]]*Data!$AI$7)), "")</calculatedColumnFormula>
    </tableColumn>
    <tableColumn id="15" xr3:uid="{70947A08-ED5E-485E-B790-B67A956F8BE1}" name="Column15" headerRowDxfId="132" dataDxfId="131" headerRowCellStyle="Normal_Stationary_combustion_tool_GL1">
      <calculatedColumnFormula>IF(Table13[[#This Row],[Column4]]="Fuel Use", _xlfn.IFNA((VLOOKUP(G24&amp;" - "&amp;H24, Mobile_S1_EF[], 'Emission Factors'!$G$234, FALSE)/IF(VLOOKUP(G24&amp;" - "&amp;H24, Mobile_S1_EF[], 9,FALSE) =Table13[[#This Row],[Column10]], 1, VLOOKUP(VLOOKUP(G24&amp;" - "&amp;H24,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calculatedColumnFormula>
    </tableColumn>
    <tableColumn id="16" xr3:uid="{C98871B8-F248-47E5-B29F-515E97C260B1}" name="Column16" headerRowDxfId="130" dataDxfId="129">
      <calculatedColumnFormula>IF(Table13[[#This Row],[Column4]]="Fuel Use", _xlfn.IFNA(VLOOKUP(G24&amp;" - "&amp;H24, Mobile_S1_EF[], IF(Parameters!$D$19="2014 IPCC Fifth Assessment", 'Emission Factors'!$I$234, 'Emission Factors'!$H$234), FALSE), ""), IF(Table13[[#This Row],[Column4]]="Distance Activity", _xlfn.IFNA(VLOOKUP(G24&amp;" - "&amp;H24, Mobile_S1_EF[], IF(Parameters!$D$19="2014 IPCC Fifth Assessment", 'Emission Factors'!$I$234, 'Emission Factors'!$H$234), FALSE), ""), IF(Table13[[#This Row],[Column4]]="Custom emission factor", _xlfn.IFNA(VLOOKUP(Table13[[#This Row],[Column5]], Custom_EF[], 9, FALSE), ""), "")))</calculatedColumnFormula>
    </tableColumn>
    <tableColumn id="17" xr3:uid="{BBE715DF-871B-4FBB-8F44-1A95A4F1B370}" name="Column17" headerRowDxfId="128" dataDxfId="127">
      <calculatedColumnFormula>_xlfn.IFNA(IF(Table13[[#This Row],[Column4]]&lt;&gt;"Custom emission factor", VLOOKUP(G24&amp;" - "&amp;H24, Mobile_S1_EF[], 'Emission Factors'!$K$234, FALSE), VLOOKUP(Table13[[#This Row],[Column5]], Custom_EF[], 4, FALSE)), "")</calculatedColumnFormula>
    </tableColumn>
  </tableColumns>
  <tableStyleInfo name="TableStyleLight8"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69FEA67-3545-4885-8BCB-EC1522022899}" name="Purchased_Electricity" displayName="Purchased_Electricity" ref="C26:O63" totalsRowShown="0" headerRowDxfId="126" dataDxfId="124" headerRowBorderDxfId="125" tableBorderDxfId="123" totalsRowBorderDxfId="122">
  <tableColumns count="13">
    <tableColumn id="1" xr3:uid="{0E4E7911-5A73-4979-B597-F86B7A306763}" name="Year" dataDxfId="121"/>
    <tableColumn id="12" xr3:uid="{AE3C5546-BA7E-4480-BB95-469C4DDD5D22}" name="Facility ID" dataDxfId="120"/>
    <tableColumn id="3" xr3:uid="{C47AC547-FF1A-4C9A-BD5A-C540787FA748}" name="Amount of Electricity Consumption" dataDxfId="119"/>
    <tableColumn id="4" xr3:uid="{0DF02134-F70B-4C41-B954-8EA5F28C4C28}" name="Units" dataDxfId="118"/>
    <tableColumn id="5" xr3:uid="{F3235595-A461-4C54-99AB-7F6B2FA1DD97}" name="Calculation Approach" dataDxfId="117"/>
    <tableColumn id="13" xr3:uid="{7CD0FABC-E2A9-4E1F-9CA0-55CFBE6516AA}" name="Type of Emission Factor" dataDxfId="116"/>
    <tableColumn id="14" xr3:uid="{8E3D5DCF-FC04-41BE-85AD-ECFDE6DEE01A}" name="Custom Emission Factor" dataDxfId="115"/>
    <tableColumn id="6" xr3:uid="{F3CF44C9-873A-42CE-BA49-72419FBCCE1D}" name="CO2 (tonnes)" dataDxfId="114">
      <calculatedColumnFormula>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calculatedColumnFormula>
    </tableColumn>
    <tableColumn id="7" xr3:uid="{F1533226-7853-4862-B8AB-BA62DD2E2593}" name="CH4 (tonnes)" dataDxfId="113">
      <calculatedColumnFormula>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calculatedColumnFormula>
    </tableColumn>
    <tableColumn id="8" xr3:uid="{41AC026B-19AA-409E-AF91-75C397C229DB}" name="N2O (tonnes)" dataDxfId="112">
      <calculatedColumnFormula>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calculatedColumnFormula>
    </tableColumn>
    <tableColumn id="9" xr3:uid="{1050CC52-F09B-49C7-8193-A0B23EDB8018}" name="CO2e (tonnes)" dataDxfId="111">
      <calculatedColumnFormula>IFERROR(IF(Parameters!$D$19="2014 IPCC Fifth Assessment", (J27*Data!$AJ$5)+(K27*Data!$AJ$6)+(L27*Data!$AJ$7), (J27*Data!$AI$5)+(K27*Data!$AI$6)+(L27*Data!$AI$7)), "")</calculatedColumnFormula>
    </tableColumn>
    <tableColumn id="10" xr3:uid="{C80AAB2D-6262-4B13-B9CE-55CE1E64904B}" name="EF (kgCO2e/kWh)" dataDxfId="110">
      <calculatedColumnFormula>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_xlfn.IFNA(VLOOKUP(VLOOKUP(D27, Table3[[#All],[Facility ID]:[Grid Region]], 2, FALSE), Table5[#All], IF(Parameters!$D$19="2014 IPCC Fifth Assessment", 8, 7), FALSE), ""), IF(Purchased_Electricity[[#This Row],[Type of Emission Factor]]="Residual Mix", _xlfn.IFNA(VLOOKUP(VLOOKUP(D27, Table3[[#All],[Facility ID]:[Grid Region]], 2, FALSE), Table6[#All], IF(Parameters!$D$19="2014 IPCC Fifth Assessment", 8, 7), FALSE), ""), _xlfn.IFNA(VLOOKUP(Purchased_Electricity[[#This Row],[Custom Emission Factor]], Custom_EF[], 9, FALSE), ""))))</calculatedColumnFormula>
    </tableColumn>
    <tableColumn id="11" xr3:uid="{BA9A4EA3-DD2D-41CF-B66A-320001771D40}" name="Source" dataDxfId="109">
      <calculatedColumnFormula>_xlfn.IFNA(IF(AND(Purchased_Electricity[[#This Row],[Calculation Approach]]="Heat/Steam", Purchased_Electricity[[#This Row],[Type of Emission Factor]]="Grid Average/Location Based"), 'Emission Factors'!$K$864, IF(Purchased_Electricity[[#This Row],[Type of Emission Factor]]="Grid Average/Location Based", VLOOKUP(VLOOKUP(D27, Table3[[#All],[Facility ID]:[Grid Region]], 2, FALSE), Table5[#All], 10, FALSE), IF(Purchased_Electricity[[#This Row],[Type of Emission Factor]]="Residual Mix", VLOOKUP(VLOOKUP(D27, Table3[[#All],[Facility ID]:[Grid Region]], 2, FALSE), Table6[#All], 10, FALSE), IF(Purchased_Electricity[[#This Row],[Type of Emission Factor]]="Custom emission factor", VLOOKUP(Purchased_Electricity[[#This Row],[Custom Emission Factor]], Custom_EF[], 4, FALSE), "")))), "")</calculatedColumnFormula>
    </tableColumn>
  </tableColumns>
  <tableStyleInfo name="TableStyleLight8"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50DEA19C-7B62-47BB-82EF-CA769D0CCFD3}" name="Table15" displayName="Table15" ref="C26:S49" headerRowCount="0" totalsRowShown="0" headerRowDxfId="108" dataDxfId="106" headerRowBorderDxfId="107" tableBorderDxfId="105" totalsRowBorderDxfId="104" headerRowCellStyle="Normal_Stationary_combustion_tool_GL1">
  <tableColumns count="17">
    <tableColumn id="1" xr3:uid="{AFDD7DDD-9DBB-41C1-91F7-C9C9F25CE28B}" name="Column1" headerRowDxfId="103" dataDxfId="102" headerRowCellStyle="Normal_Stationary_combustion_tool_GL1"/>
    <tableColumn id="2" xr3:uid="{B48F656B-8C4F-4D12-A079-4B97BFEA9A27}" name="Column2" headerRowDxfId="101" dataDxfId="100" headerRowCellStyle="Normal_Stationary_combustion_tool_GL1"/>
    <tableColumn id="3" xr3:uid="{4E5C6D92-AB9B-47E2-A539-3F99D8F99B55}" name="Column3" headerRowDxfId="99" dataDxfId="98" headerRowCellStyle="Normal_Stationary_combustion_tool_GL1" dataCellStyle="Normal_Stationary_combustion_tool_GL1"/>
    <tableColumn id="4" xr3:uid="{C2B701E2-4AA3-4F8D-BEDF-06B82AD8F5D4}" name="Column4" headerRowDxfId="97" dataDxfId="96" headerRowCellStyle="Normal_Stationary_combustion_tool_GL1" dataCellStyle="Normal_Stationary_combustion_tool_GL1"/>
    <tableColumn id="5" xr3:uid="{B699ECD7-E25E-4326-A76C-0F89385850CE}" name="Column5" headerRowDxfId="95" dataDxfId="94"/>
    <tableColumn id="22" xr3:uid="{95B48939-7566-4F79-A9D3-D806DA1BA778}" name="Column10" headerRowDxfId="93" dataDxfId="92">
      <calculatedColumnFormula>IF(AND(OR(Table15[[#This Row],[Column3]]="Employee Commute", Table15[[#This Row],[Column3]]="Business Travel"), Table15[[#This Row],[Column4]]="UK DEFRA", Table15[[#This Row],[Column5]]="Air", Parameters!$D$22="Yes"), "Yes", "")</calculatedColumnFormula>
    </tableColumn>
    <tableColumn id="6" xr3:uid="{42F5EA37-F4EE-4052-B267-506FD36E563B}" name="Column6" headerRowDxfId="91" dataDxfId="90" headerRowCellStyle="Normal_Stationary_combustion_tool_GL1" dataCellStyle="Normal_Stationary_combustion_tool_GL1"/>
    <tableColumn id="7" xr3:uid="{BD15231C-1199-400F-933F-687AE4E7EB7F}" name="Column7" headerRowDxfId="89" dataDxfId="88" headerRowCellStyle="Normal_Stationary_combustion_tool_GL1" dataCellStyle="Normal_Stationary_combustion_tool_GL1"/>
    <tableColumn id="13" xr3:uid="{920219D1-BA56-4D56-A39D-6EFD23BDF8F6}" name="Column13" headerRowDxfId="87" dataDxfId="86" headerRowCellStyle="Normal_Stationary_combustion_tool_GL1"/>
    <tableColumn id="14" xr3:uid="{9827134F-BAC4-40D4-8DCC-A6C303DCAEFC}" name="Column14" headerRowDxfId="85" dataDxfId="84" headerRowCellStyle="Normal_Stationary_combustion_tool_GL1"/>
    <tableColumn id="15" xr3:uid="{D4EA7D94-3037-4A48-B968-B7F4E6B2C135}" name="Column15" headerRowDxfId="83" dataDxfId="82" headerRowCellStyle="Normal_Stationary_combustion_tool_GL1">
      <calculatedColumnFormula>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FALSE)/IF(VLOOKUP(J26, S3_Transport_EF[], 9,FALSE) =Table15[[#This Row],[Column14]], 1, VLOOKUP(VLOOKUP(J26, S3_Transport_EF[], 9,FALSE)&amp;"_to_"&amp;Table15[[#This Row],[Column14]], Conversions!$B$52:$F$162, Conversions!$E$52, FALSE))*Table15[[#This Row],[Column13]]/1000, "")), "")), "")</calculatedColumnFormula>
    </tableColumn>
    <tableColumn id="16" xr3:uid="{FADFC42C-A50C-4653-9223-47F0D38F098A}" name="Column16" headerRowDxfId="81" dataDxfId="80" headerRowCellStyle="Normal_Stationary_combustion_tool_GL1">
      <calculatedColumnFormula>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calculatedColumnFormula>
    </tableColumn>
    <tableColumn id="17" xr3:uid="{B606AAC7-6837-4BC3-898F-8E8E5D432F44}" name="Column17" headerRowDxfId="79" dataDxfId="78" headerRowCellStyle="Normal_Stationary_combustion_tool_GL1">
      <calculatedColumnFormula>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calculatedColumnFormula>
    </tableColumn>
    <tableColumn id="18" xr3:uid="{A9582CC1-BB6A-41C2-92A3-8EFD99E2B4B8}" name="Column18" headerRowDxfId="77" dataDxfId="76" headerRowCellStyle="Normal_Stationary_combustion_tool_GL1" dataCellStyle="Normal_Stationary_combustion_tool_GL1">
      <calculatedColumnFormula>IFERROR(IF(Parameters!$D$19="2014 IPCC Fifth Assessment", (M26*Data!$AJ$5)+(N26*Data!$AJ$6)+(O26*Data!$AJ$7), (M26*Data!$AI$5)+(N26*Data!$AI$6)+(O26*Data!$AI$7)), "")</calculatedColumnFormula>
    </tableColumn>
    <tableColumn id="19" xr3:uid="{BAAD31AD-CB73-4F16-8BEE-D94A174C8578}" name="Column19" headerRowDxfId="75" dataDxfId="74" headerRowCellStyle="Normal_Stationary_combustion_tool_GL1">
      <calculatedColumnFormula>_xlfn.IFNA(IF(VLOOKUP(Table15[[#This Row],[Column7]], S3_Transport_EF[], 6, FALSE) = "Yes", _xlfn.IFNA(VLOOKUP(J26, S3_Transport_EF[], 'Emission Factors'!$D$420, FALSE)/IF(VLOOKUP(J26, S3_Transport_EF[], 9,FALSE) =Table15[[#This Row],[Column14]], 1, VLOOKUP(VLOOKUP(J26, S3_Transport_EF[], 9,FALSE)&amp;"_to_"&amp;Table15[[#This Row],[Column14]], Conversions!$B$52:$F$162, Conversions!$E$52, FALSE))*Table15[[#This Row],[Column13]]/1000, ""), 0), "")</calculatedColumnFormula>
    </tableColumn>
    <tableColumn id="20" xr3:uid="{70F2E480-2134-4CF7-A8C9-FCE1F1BCE606}" name="Column20" headerRowDxfId="73" dataDxfId="72">
      <calculatedColumnFormula>IF(Table15[[#This Row],[Column4]]="Custom emission factor", _xlfn.IFNA(VLOOKUP(Table15[[#This Row],[Column6]], Custom_EF[], 9, FALSE), ""), _xlfn.IFNA(VLOOKUP(Table15[[#This Row],[Column7]], S3_Transport_EF[], IF(Parameters!$D$19="2014 IPCC Fifth Assessment", 'Emission Factors'!$I$420, 'Emission Factors'!$H$420), FALSE), ""))</calculatedColumnFormula>
    </tableColumn>
    <tableColumn id="21" xr3:uid="{E46964EE-11C7-4D4B-B005-B4EDE2C19B52}" name="Column21" headerRowDxfId="71" dataDxfId="70">
      <calculatedColumnFormula>_xlfn.IFNA(IF(Table15[[#This Row],[Column4]]&lt;&gt;"Custom emission factor", VLOOKUP(Table15[[#This Row],[Column7]], S3_Transport_EF[], 'Emission Factors'!$K$420, FALSE), VLOOKUP(Table15[[#This Row],[Column6]], Custom_EF[], 4, FALSE)), "")</calculatedColumnFormula>
    </tableColumn>
  </tableColumns>
  <tableStyleInfo name="TableStyleLight8"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6ED0461-C78F-4B0E-BB55-A6C9816C40AB}" name="Table1" displayName="Table1" ref="A10:AM47" totalsRowShown="0" headerRowDxfId="69" dataDxfId="68">
  <autoFilter ref="A10:AM47" xr:uid="{E418DDC0-8637-440D-8825-14A26FD64464}"/>
  <tableColumns count="39">
    <tableColumn id="1" xr3:uid="{4AF917DD-44FB-4B1E-958E-A85E446A884F}" name="Unit" dataDxfId="67"/>
    <tableColumn id="2" xr3:uid="{54594BF1-983E-4C5E-9B55-C385CF4BB51E}" name="From Unit" dataDxfId="66"/>
    <tableColumn id="3" xr3:uid="{4937BEE8-31C0-46F4-A1D7-60E7B317F8C1}" name="gal (US)" dataDxfId="65"/>
    <tableColumn id="4" xr3:uid="{D5622CF9-7666-4306-9267-4D9466F2FBC7}" name="L" dataDxfId="64"/>
    <tableColumn id="5" xr3:uid="{66EEBBCF-4794-496B-97AF-1E2094ABE368}" name="brl" dataDxfId="63"/>
    <tableColumn id="6" xr3:uid="{9928D5A5-07B2-4DF8-9C58-2C06305C7B05}" name="scf" dataDxfId="62"/>
    <tableColumn id="7" xr3:uid="{8FB54D1A-39A3-4F8F-8646-BA2CB1967775}" name="ft^3" dataDxfId="61"/>
    <tableColumn id="8" xr3:uid="{69C6176D-29DC-4A96-993E-552B054D6549}" name="ccf" dataDxfId="60"/>
    <tableColumn id="9" xr3:uid="{D58EC2FD-1DA1-4C2A-9075-A3F327E05A04}" name="yd^3" dataDxfId="59"/>
    <tableColumn id="10" xr3:uid="{66EF1C88-D2E9-4DAC-9768-F644DD0455E5}" name="m3" dataDxfId="58"/>
    <tableColumn id="11" xr3:uid="{79F07115-0DB9-4512-962F-5702851CC952}" name="cm^3" dataDxfId="57"/>
    <tableColumn id="12" xr3:uid="{7232EA7B-AE59-4D00-A074-955DE701E816}" name="t" dataDxfId="56"/>
    <tableColumn id="13" xr3:uid="{C25DC1D2-BA0F-47AE-9B4F-09799A058B6E}" name="kg" dataDxfId="55"/>
    <tableColumn id="14" xr3:uid="{F81165BA-2248-4880-9E3D-19BB62B46A81}" name="lb" dataDxfId="54"/>
    <tableColumn id="15" xr3:uid="{19821293-854E-4FB5-AD0B-7DC5AE7EE54D}" name="ton" dataDxfId="53"/>
    <tableColumn id="16" xr3:uid="{32ADCD9A-94BB-432D-9653-42DDF960483D}" name="LT" dataDxfId="52"/>
    <tableColumn id="17" xr3:uid="{2E4AE254-1C23-4430-86D8-3A84D4389DBD}" name="g" dataDxfId="51"/>
    <tableColumn id="18" xr3:uid="{56FDB979-AB63-4708-A4B7-64176230FA6D}" name="mi" dataDxfId="50"/>
    <tableColumn id="19" xr3:uid="{4379E8E9-B0B6-4D93-80AF-8AA9628E7E9E}" name="nm" dataDxfId="49"/>
    <tableColumn id="20" xr3:uid="{CF7DEB44-27A2-4B48-AC98-04355E68AA4E}" name="m" dataDxfId="48"/>
    <tableColumn id="21" xr3:uid="{BAC790E5-29CF-45A8-8473-D93D032917DD}" name="km" dataDxfId="47"/>
    <tableColumn id="22" xr3:uid="{73F7CA2B-4653-443C-8706-98B98847B26D}" name="kWh" dataDxfId="46"/>
    <tableColumn id="23" xr3:uid="{C8340AFD-C78B-4BA6-9689-DB5D7A9E953A}" name="MWh" dataDxfId="45"/>
    <tableColumn id="24" xr3:uid="{119DA0AE-2143-40F1-9F38-9D9CA709191D}" name="GWh" dataDxfId="44"/>
    <tableColumn id="25" xr3:uid="{ABEB7865-0BBB-4BCE-AD3A-38D49209E28F}" name="therm" dataDxfId="43"/>
    <tableColumn id="26" xr3:uid="{409760F0-24B7-40E2-B9E9-781FAC96F2C9}" name="BTU" dataDxfId="42"/>
    <tableColumn id="27" xr3:uid="{0342AB77-E374-413C-B696-7E2A73EB3137}" name="MMBTU" dataDxfId="41"/>
    <tableColumn id="28" xr3:uid="{1C53CA72-344F-4F0B-A3D9-2196E3C30C22}" name="MJ" dataDxfId="40"/>
    <tableColumn id="29" xr3:uid="{8136198E-5AFE-4276-860D-8D5923523F2A}" name="GJ" dataDxfId="39"/>
    <tableColumn id="30" xr3:uid="{A64C0C97-C576-48DF-8ADB-470FBA55C1BC}" name="t-mi" dataDxfId="38"/>
    <tableColumn id="31" xr3:uid="{97DC4DED-7DB6-4208-8E32-ADB50F94BD33}" name="ton-mi" dataDxfId="37"/>
    <tableColumn id="32" xr3:uid="{1B8FC7A6-E532-42D9-A624-0C79D76F714D}" name="ton-km" dataDxfId="36"/>
    <tableColumn id="33" xr3:uid="{9EF6AAAA-EEF7-4F34-B8CA-BA16DEEB91EC}" name="t-km" dataDxfId="35"/>
    <tableColumn id="34" xr3:uid="{D8030E47-0BCA-47A0-B27A-78B31AB08FAF}" name="p-mi" dataDxfId="34"/>
    <tableColumn id="35" xr3:uid="{28055C01-84FD-4038-8990-853F41CA3B4A}" name="MPG" dataDxfId="33"/>
    <tableColumn id="36" xr3:uid="{3C8C2A0A-32FC-4D73-80C5-EC62B30C23E2}" name="L/km" dataDxfId="32"/>
    <tableColumn id="37" xr3:uid="{01B57368-62FC-4138-AF55-515BB539FE32}" name="sq ft" dataDxfId="31"/>
    <tableColumn id="38" xr3:uid="{B14067C9-2C91-4AC9-9335-308DF1B8EBE4}" name="acre" dataDxfId="30"/>
    <tableColumn id="39" xr3:uid="{C869789D-45C4-4CDE-8434-81CBD503B41D}" name="ha" dataDxfId="29"/>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https://epa.gov/sites/production/files/2020-03/power_profiler_zipcode_tool_2018_3_09_20._v9.xlsx" TargetMode="External"/><Relationship Id="rId1" Type="http://schemas.openxmlformats.org/officeDocument/2006/relationships/hyperlink" Target="https://ghgprotocol.org/sites/default/files/standards_supporting/Required%20gases%20and%20GWP%20values_0.pdf" TargetMode="External"/><Relationship Id="rId5" Type="http://schemas.openxmlformats.org/officeDocument/2006/relationships/table" Target="../tables/table2.xml"/><Relationship Id="rId4" Type="http://schemas.openxmlformats.org/officeDocument/2006/relationships/table" Target="../tables/table1.xml"/></Relationships>
</file>

<file path=xl/worksheets/_rels/sheet4.xml.rels><?xml version="1.0" encoding="UTF-8" standalone="yes"?>
<Relationships xmlns="http://schemas.openxmlformats.org/package/2006/relationships"><Relationship Id="rId8" Type="http://schemas.openxmlformats.org/officeDocument/2006/relationships/hyperlink" Target="https://unfccc.int/documents/65715" TargetMode="External"/><Relationship Id="rId13" Type="http://schemas.openxmlformats.org/officeDocument/2006/relationships/hyperlink" Target="https://unfccc.int/documents/65715" TargetMode="External"/><Relationship Id="rId18" Type="http://schemas.openxmlformats.org/officeDocument/2006/relationships/hyperlink" Target="https://www.epa.gov/sites/production/files/2020-01/egrid2018_summary_tables.xlsx" TargetMode="External"/><Relationship Id="rId26" Type="http://schemas.openxmlformats.org/officeDocument/2006/relationships/table" Target="../tables/table8.xml"/><Relationship Id="rId3" Type="http://schemas.openxmlformats.org/officeDocument/2006/relationships/hyperlink" Target="https://unfccc.int/documents/65715" TargetMode="External"/><Relationship Id="rId21" Type="http://schemas.openxmlformats.org/officeDocument/2006/relationships/table" Target="../tables/table3.xml"/><Relationship Id="rId7" Type="http://schemas.openxmlformats.org/officeDocument/2006/relationships/hyperlink" Target="https://unfccc.int/documents/65715" TargetMode="External"/><Relationship Id="rId12" Type="http://schemas.openxmlformats.org/officeDocument/2006/relationships/hyperlink" Target="https://unfccc.int/documents/65715" TargetMode="External"/><Relationship Id="rId17" Type="http://schemas.openxmlformats.org/officeDocument/2006/relationships/hyperlink" Target="https://unfccc.int/documents/65715" TargetMode="External"/><Relationship Id="rId25" Type="http://schemas.openxmlformats.org/officeDocument/2006/relationships/table" Target="../tables/table7.xml"/><Relationship Id="rId2" Type="http://schemas.openxmlformats.org/officeDocument/2006/relationships/hyperlink" Target="https://unfccc.int/documents/65715" TargetMode="External"/><Relationship Id="rId16" Type="http://schemas.openxmlformats.org/officeDocument/2006/relationships/hyperlink" Target="https://unfccc.int/documents/65715" TargetMode="External"/><Relationship Id="rId20" Type="http://schemas.openxmlformats.org/officeDocument/2006/relationships/drawing" Target="../drawings/drawing3.xml"/><Relationship Id="rId29" Type="http://schemas.openxmlformats.org/officeDocument/2006/relationships/table" Target="../tables/table11.xml"/><Relationship Id="rId1" Type="http://schemas.openxmlformats.org/officeDocument/2006/relationships/hyperlink" Target="https://www.epa.gov/sites/production/files/2020-01/egrid2018_summary_tables.xlsx" TargetMode="External"/><Relationship Id="rId6" Type="http://schemas.openxmlformats.org/officeDocument/2006/relationships/hyperlink" Target="https://unfccc.int/documents/65715" TargetMode="External"/><Relationship Id="rId11" Type="http://schemas.openxmlformats.org/officeDocument/2006/relationships/hyperlink" Target="https://unfccc.int/documents/65715" TargetMode="External"/><Relationship Id="rId24" Type="http://schemas.openxmlformats.org/officeDocument/2006/relationships/table" Target="../tables/table6.xml"/><Relationship Id="rId5" Type="http://schemas.openxmlformats.org/officeDocument/2006/relationships/hyperlink" Target="https://unfccc.int/documents/65715" TargetMode="External"/><Relationship Id="rId15" Type="http://schemas.openxmlformats.org/officeDocument/2006/relationships/hyperlink" Target="https://unfccc.int/documents/65715" TargetMode="External"/><Relationship Id="rId23" Type="http://schemas.openxmlformats.org/officeDocument/2006/relationships/table" Target="../tables/table5.xml"/><Relationship Id="rId28" Type="http://schemas.openxmlformats.org/officeDocument/2006/relationships/table" Target="../tables/table10.xml"/><Relationship Id="rId10" Type="http://schemas.openxmlformats.org/officeDocument/2006/relationships/hyperlink" Target="https://unfccc.int/documents/65715" TargetMode="External"/><Relationship Id="rId19" Type="http://schemas.openxmlformats.org/officeDocument/2006/relationships/printerSettings" Target="../printerSettings/printerSettings2.bin"/><Relationship Id="rId4" Type="http://schemas.openxmlformats.org/officeDocument/2006/relationships/hyperlink" Target="https://www.epa.gov/sites/production/files/2020-01/egrid2018_summary_tables.xlsx" TargetMode="External"/><Relationship Id="rId9" Type="http://schemas.openxmlformats.org/officeDocument/2006/relationships/hyperlink" Target="https://unfccc.int/documents/65715" TargetMode="External"/><Relationship Id="rId14" Type="http://schemas.openxmlformats.org/officeDocument/2006/relationships/hyperlink" Target="https://unfccc.int/documents/65715" TargetMode="External"/><Relationship Id="rId22" Type="http://schemas.openxmlformats.org/officeDocument/2006/relationships/table" Target="../tables/table4.xml"/><Relationship Id="rId27" Type="http://schemas.openxmlformats.org/officeDocument/2006/relationships/table" Target="../tables/table9.xml"/><Relationship Id="rId30" Type="http://schemas.openxmlformats.org/officeDocument/2006/relationships/table" Target="../tables/table12.xml"/></Relationships>
</file>

<file path=xl/worksheets/_rels/sheet5.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4.xml"/><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13.xml.rels><?xml version="1.0" encoding="UTF-8" standalone="yes"?>
<Relationships xmlns="http://schemas.openxmlformats.org/package/2006/relationships"><Relationship Id="rId3" Type="http://schemas.openxmlformats.org/officeDocument/2006/relationships/hyperlink" Target="https://www.ecfr.gov/cgi-bin/text-idx?SID=ae265d7d6f98ec86fcd8640b9793a3f6&amp;mc=true&amp;node=pt40.23.98&amp;rgn=div5" TargetMode="External"/><Relationship Id="rId2" Type="http://schemas.openxmlformats.org/officeDocument/2006/relationships/hyperlink" Target="https://www.ecfr.gov/cgi-bin/text-idx?SID=ae265d7d6f98ec86fcd8640b9793a3f6&amp;mc=true&amp;node=pt40.23.98&amp;rgn=div5" TargetMode="External"/><Relationship Id="rId1" Type="http://schemas.openxmlformats.org/officeDocument/2006/relationships/hyperlink" Target="https://www.ecfr.gov/cgi-bin/text-idx?SID=ae265d7d6f98ec86fcd8640b9793a3f6&amp;mc=true&amp;node=pt40.23.98&amp;rgn=div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8706C-5066-48D3-8030-8D7AEC8082D3}">
  <sheetPr codeName="Sheet1"/>
  <dimension ref="A1:T41"/>
  <sheetViews>
    <sheetView showGridLines="0" showRowColHeaders="0" tabSelected="1" showWhiteSpace="0" topLeftCell="A9" zoomScale="85" zoomScaleNormal="85" zoomScaleSheetLayoutView="90" workbookViewId="0">
      <selection activeCell="B22" sqref="B22:R23"/>
    </sheetView>
  </sheetViews>
  <sheetFormatPr baseColWidth="10" defaultColWidth="8.7109375" defaultRowHeight="15"/>
  <cols>
    <col min="1" max="1" width="8.7109375" customWidth="1"/>
    <col min="2" max="2" width="11.140625" customWidth="1"/>
    <col min="3" max="3" width="10.5703125" customWidth="1"/>
    <col min="4" max="4" width="22.28515625" customWidth="1"/>
    <col min="5" max="5" width="21.28515625" customWidth="1"/>
    <col min="6" max="6" width="17.7109375" customWidth="1"/>
    <col min="7" max="7" width="13.28515625" customWidth="1"/>
    <col min="8" max="8" width="19.7109375" customWidth="1"/>
    <col min="11" max="11" width="11.28515625" customWidth="1"/>
  </cols>
  <sheetData>
    <row r="1" s="364" customFormat="1"/>
    <row r="2" s="364" customFormat="1"/>
    <row r="3" s="364" customFormat="1"/>
    <row r="4" s="364" customFormat="1"/>
    <row r="5" s="364" customFormat="1"/>
    <row r="6" s="364" customFormat="1"/>
    <row r="7" s="364" customFormat="1"/>
    <row r="16" s="311" customFormat="1"/>
    <row r="17" spans="1:20" s="311" customFormat="1" ht="31.5">
      <c r="B17" s="312" t="s">
        <v>0</v>
      </c>
    </row>
    <row r="18" spans="1:20" s="311" customFormat="1" ht="18.75">
      <c r="B18" s="313" t="s">
        <v>1</v>
      </c>
    </row>
    <row r="19" spans="1:20" s="311" customFormat="1" ht="23.25">
      <c r="B19" s="314"/>
    </row>
    <row r="21" spans="1:20" ht="30.4" customHeight="1">
      <c r="B21" s="843" t="s">
        <v>2</v>
      </c>
      <c r="C21" s="844"/>
      <c r="D21" s="844"/>
      <c r="E21" s="844"/>
      <c r="F21" s="844"/>
      <c r="G21" s="844"/>
      <c r="H21" s="844"/>
      <c r="I21" s="844"/>
      <c r="J21" s="844"/>
      <c r="K21" s="844"/>
      <c r="L21" s="844"/>
      <c r="M21" s="844"/>
      <c r="N21" s="844"/>
      <c r="O21" s="844"/>
      <c r="P21" s="844"/>
      <c r="Q21" s="844"/>
      <c r="R21" s="844"/>
    </row>
    <row r="22" spans="1:20" ht="150" customHeight="1">
      <c r="A22" s="341"/>
      <c r="B22" s="856" t="s">
        <v>3</v>
      </c>
      <c r="C22" s="857"/>
      <c r="D22" s="857"/>
      <c r="E22" s="857"/>
      <c r="F22" s="857"/>
      <c r="G22" s="857"/>
      <c r="H22" s="857"/>
      <c r="I22" s="857"/>
      <c r="J22" s="857"/>
      <c r="K22" s="857"/>
      <c r="L22" s="857"/>
      <c r="M22" s="857"/>
      <c r="N22" s="857"/>
      <c r="O22" s="857"/>
      <c r="P22" s="857"/>
      <c r="Q22" s="857"/>
      <c r="R22" s="858"/>
    </row>
    <row r="23" spans="1:20" ht="25.5" customHeight="1">
      <c r="B23" s="856"/>
      <c r="C23" s="857"/>
      <c r="D23" s="857"/>
      <c r="E23" s="857"/>
      <c r="F23" s="857"/>
      <c r="G23" s="857"/>
      <c r="H23" s="857"/>
      <c r="I23" s="857"/>
      <c r="J23" s="857"/>
      <c r="K23" s="857"/>
      <c r="L23" s="857"/>
      <c r="M23" s="857"/>
      <c r="N23" s="857"/>
      <c r="O23" s="857"/>
      <c r="P23" s="857"/>
      <c r="Q23" s="857"/>
      <c r="R23" s="858"/>
      <c r="S23" s="303"/>
      <c r="T23" s="303"/>
    </row>
    <row r="24" spans="1:20" ht="8.25" customHeight="1">
      <c r="A24" s="304"/>
      <c r="B24" s="847"/>
      <c r="C24" s="848"/>
      <c r="D24" s="848"/>
      <c r="E24" s="848"/>
      <c r="F24" s="848"/>
      <c r="G24" s="848"/>
      <c r="H24" s="848"/>
      <c r="I24" s="848"/>
      <c r="J24" s="848"/>
      <c r="K24" s="848"/>
      <c r="L24" s="848"/>
      <c r="M24" s="848"/>
      <c r="N24" s="848"/>
      <c r="O24" s="848"/>
      <c r="P24" s="848"/>
      <c r="Q24" s="848"/>
      <c r="R24" s="849"/>
      <c r="S24" s="303"/>
      <c r="T24" s="303"/>
    </row>
    <row r="25" spans="1:20" ht="4.5" customHeight="1">
      <c r="A25" s="304"/>
      <c r="B25" s="850"/>
      <c r="C25" s="851"/>
      <c r="D25" s="851"/>
      <c r="E25" s="851"/>
      <c r="F25" s="851"/>
      <c r="G25" s="851"/>
      <c r="H25" s="851"/>
      <c r="I25" s="851"/>
      <c r="J25" s="851"/>
      <c r="K25" s="851"/>
      <c r="L25" s="851"/>
      <c r="M25" s="851"/>
      <c r="N25" s="851"/>
      <c r="O25" s="851"/>
      <c r="P25" s="851"/>
      <c r="Q25" s="851"/>
      <c r="R25" s="852"/>
    </row>
    <row r="26" spans="1:20" ht="21.4" customHeight="1">
      <c r="A26" s="308"/>
      <c r="B26" s="853" t="s">
        <v>4</v>
      </c>
      <c r="C26" s="854"/>
      <c r="D26" s="854"/>
      <c r="E26" s="854"/>
      <c r="F26" s="854"/>
      <c r="G26" s="854"/>
      <c r="H26" s="854"/>
      <c r="I26" s="854"/>
      <c r="J26" s="854"/>
      <c r="K26" s="854"/>
      <c r="L26" s="854"/>
      <c r="M26" s="854"/>
      <c r="N26" s="854"/>
      <c r="O26" s="854"/>
      <c r="P26" s="854"/>
      <c r="Q26" s="854"/>
      <c r="R26" s="855"/>
    </row>
    <row r="27" spans="1:20" ht="14.65" customHeight="1">
      <c r="A27" s="306"/>
      <c r="B27" s="369"/>
      <c r="C27" s="365" t="s">
        <v>5</v>
      </c>
      <c r="D27" s="365"/>
      <c r="E27" s="365"/>
      <c r="F27" s="365"/>
      <c r="G27" s="365"/>
      <c r="H27" s="365"/>
      <c r="I27" s="365"/>
      <c r="J27" s="365"/>
      <c r="K27" s="365"/>
      <c r="L27" s="365"/>
      <c r="M27" s="303"/>
      <c r="N27" s="303"/>
      <c r="O27" s="303"/>
      <c r="P27" s="303"/>
      <c r="Q27" s="303"/>
      <c r="R27" s="368"/>
    </row>
    <row r="28" spans="1:20" ht="14.65" customHeight="1">
      <c r="A28" s="308"/>
      <c r="B28" s="495"/>
      <c r="C28" s="365" t="s">
        <v>6</v>
      </c>
      <c r="D28" s="365"/>
      <c r="E28" s="365"/>
      <c r="F28" s="365"/>
      <c r="G28" s="365"/>
      <c r="H28" s="365"/>
      <c r="I28" s="365"/>
      <c r="J28" s="365"/>
      <c r="K28" s="365"/>
      <c r="L28" s="365"/>
      <c r="M28" s="303"/>
      <c r="N28" s="303"/>
      <c r="O28" s="303"/>
      <c r="P28" s="303"/>
      <c r="Q28" s="303"/>
      <c r="R28" s="368"/>
    </row>
    <row r="29" spans="1:20" ht="14.65" customHeight="1">
      <c r="A29" s="308"/>
      <c r="B29" s="496"/>
      <c r="C29" s="365" t="s">
        <v>7</v>
      </c>
      <c r="D29" s="365"/>
      <c r="E29" s="365"/>
      <c r="F29" s="365"/>
      <c r="G29" s="365"/>
      <c r="H29" s="365"/>
      <c r="I29" s="365"/>
      <c r="J29" s="365"/>
      <c r="K29" s="365"/>
      <c r="L29" s="365"/>
      <c r="M29" s="303"/>
      <c r="N29" s="303"/>
      <c r="O29" s="303"/>
      <c r="P29" s="303"/>
      <c r="Q29" s="303"/>
      <c r="R29" s="368"/>
    </row>
    <row r="30" spans="1:20" ht="14.65" customHeight="1">
      <c r="A30" s="308"/>
      <c r="B30" s="788"/>
      <c r="C30" s="789" t="s">
        <v>8</v>
      </c>
      <c r="D30" s="365"/>
      <c r="E30" s="365"/>
      <c r="F30" s="365"/>
      <c r="G30" s="365"/>
      <c r="H30" s="365"/>
      <c r="I30" s="365"/>
      <c r="J30" s="365"/>
      <c r="K30" s="365"/>
      <c r="L30" s="365"/>
      <c r="M30" s="303"/>
      <c r="N30" s="303"/>
      <c r="O30" s="303"/>
      <c r="P30" s="303"/>
      <c r="Q30" s="303"/>
      <c r="R30" s="368"/>
    </row>
    <row r="31" spans="1:20" ht="14.65" customHeight="1">
      <c r="A31" s="305"/>
      <c r="B31" s="366"/>
      <c r="C31" s="367"/>
      <c r="D31" s="367"/>
      <c r="E31" s="367"/>
      <c r="F31" s="367"/>
      <c r="G31" s="367"/>
      <c r="H31" s="367"/>
      <c r="I31" s="367"/>
      <c r="J31" s="367"/>
      <c r="K31" s="367"/>
      <c r="L31" s="367"/>
      <c r="M31" s="370"/>
      <c r="N31" s="370"/>
      <c r="O31" s="370"/>
      <c r="P31" s="370"/>
      <c r="Q31" s="370"/>
      <c r="R31" s="371"/>
    </row>
    <row r="32" spans="1:20" ht="14.65" customHeight="1">
      <c r="A32" s="309"/>
      <c r="B32" s="307"/>
      <c r="C32" s="307"/>
      <c r="D32" s="307"/>
      <c r="E32" s="497"/>
      <c r="F32" s="497"/>
      <c r="G32" s="243"/>
      <c r="J32" s="243"/>
      <c r="K32" s="243"/>
      <c r="L32" s="243"/>
      <c r="M32" s="243"/>
      <c r="N32" s="243"/>
      <c r="O32" s="243"/>
      <c r="P32" s="243"/>
      <c r="Q32" s="243"/>
      <c r="R32" s="243"/>
    </row>
    <row r="33" spans="1:18" ht="14.65" customHeight="1">
      <c r="A33" s="309"/>
      <c r="B33" s="307"/>
      <c r="C33" s="307"/>
      <c r="D33" s="307"/>
      <c r="E33" s="307"/>
      <c r="F33" s="307"/>
      <c r="G33" s="303"/>
      <c r="J33" s="303"/>
      <c r="K33" s="303"/>
      <c r="L33" s="303"/>
      <c r="M33" s="303"/>
      <c r="N33" s="303"/>
      <c r="O33" s="303"/>
      <c r="P33" s="303"/>
      <c r="Q33" s="303"/>
      <c r="R33" s="303"/>
    </row>
    <row r="34" spans="1:18" ht="14.65" customHeight="1">
      <c r="D34" s="498"/>
      <c r="E34" s="498"/>
      <c r="F34" s="498"/>
      <c r="P34" s="243"/>
    </row>
    <row r="35" spans="1:18" ht="28.9" customHeight="1">
      <c r="A35" s="339"/>
      <c r="B35" s="845" t="s">
        <v>9</v>
      </c>
      <c r="C35" s="845"/>
      <c r="D35" s="845"/>
      <c r="E35" s="845"/>
      <c r="F35" s="845"/>
      <c r="G35" s="845"/>
      <c r="H35" s="845"/>
      <c r="I35" s="845"/>
      <c r="J35" s="845"/>
      <c r="K35" s="845"/>
      <c r="L35" s="845"/>
    </row>
    <row r="36" spans="1:18" ht="112.5" customHeight="1">
      <c r="A36" s="303"/>
      <c r="B36" s="846" t="s">
        <v>10</v>
      </c>
      <c r="C36" s="846"/>
      <c r="D36" s="846"/>
      <c r="E36" s="846"/>
      <c r="F36" s="846"/>
      <c r="G36" s="846"/>
      <c r="H36" s="846"/>
      <c r="I36" s="846"/>
      <c r="J36" s="846"/>
      <c r="K36" s="846"/>
      <c r="L36" s="846"/>
    </row>
    <row r="37" spans="1:18" ht="59.65" customHeight="1"/>
    <row r="41" spans="1:18">
      <c r="G41" s="310" t="s">
        <v>11</v>
      </c>
    </row>
  </sheetData>
  <mergeCells count="7">
    <mergeCell ref="B21:R21"/>
    <mergeCell ref="B35:L35"/>
    <mergeCell ref="B36:L36"/>
    <mergeCell ref="B24:R24"/>
    <mergeCell ref="B25:R25"/>
    <mergeCell ref="B26:R26"/>
    <mergeCell ref="B22:R23"/>
  </mergeCells>
  <pageMargins left="0.7" right="0.7" top="0.75" bottom="0.75" header="0.3" footer="0.3"/>
  <pageSetup scale="48" fitToWidth="0"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399BF-F879-4DC2-BAAD-EAE66F47A9F3}">
  <sheetPr codeName="Sheet11">
    <tabColor rgb="FF008080"/>
  </sheetPr>
  <dimension ref="B1:W46"/>
  <sheetViews>
    <sheetView showGridLines="0" showRowColHeaders="0" topLeftCell="A23" workbookViewId="0">
      <selection activeCell="C9" sqref="C9:W9"/>
    </sheetView>
  </sheetViews>
  <sheetFormatPr baseColWidth="10" defaultColWidth="9.140625" defaultRowHeight="15"/>
  <sheetData>
    <row r="1" spans="2:23" s="435" customFormat="1" ht="23.25">
      <c r="B1" s="435" t="s">
        <v>12</v>
      </c>
    </row>
    <row r="2" spans="2:23">
      <c r="B2" s="786">
        <v>1</v>
      </c>
      <c r="C2" t="s">
        <v>13</v>
      </c>
    </row>
    <row r="3" spans="2:23" ht="31.5" customHeight="1">
      <c r="B3" s="787">
        <v>2</v>
      </c>
      <c r="C3" s="860" t="s">
        <v>14</v>
      </c>
      <c r="D3" s="861"/>
      <c r="E3" s="861"/>
      <c r="F3" s="861"/>
      <c r="G3" s="861"/>
      <c r="H3" s="861"/>
      <c r="I3" s="861"/>
      <c r="J3" s="861"/>
      <c r="K3" s="861"/>
      <c r="L3" s="861"/>
      <c r="M3" s="861"/>
      <c r="N3" s="861"/>
      <c r="O3" s="861"/>
      <c r="P3" s="861"/>
      <c r="Q3" s="861"/>
      <c r="R3" s="861"/>
      <c r="S3" s="861"/>
      <c r="T3" s="861"/>
      <c r="U3" s="861"/>
      <c r="V3" s="861"/>
      <c r="W3" s="861"/>
    </row>
    <row r="4" spans="2:23">
      <c r="B4" s="786">
        <v>3</v>
      </c>
      <c r="C4" t="s">
        <v>15</v>
      </c>
    </row>
    <row r="5" spans="2:23">
      <c r="B5" s="786"/>
      <c r="C5" s="216" t="s">
        <v>16</v>
      </c>
    </row>
    <row r="6" spans="2:23">
      <c r="B6" s="786"/>
      <c r="C6" s="216"/>
    </row>
    <row r="7" spans="2:23" s="435" customFormat="1" ht="23.25">
      <c r="B7" s="435" t="s">
        <v>17</v>
      </c>
    </row>
    <row r="8" spans="2:23">
      <c r="B8" s="786">
        <v>1</v>
      </c>
      <c r="C8" t="s">
        <v>18</v>
      </c>
    </row>
    <row r="9" spans="2:23" ht="44.25" customHeight="1">
      <c r="B9" s="787">
        <v>2</v>
      </c>
      <c r="C9" s="861" t="s">
        <v>19</v>
      </c>
      <c r="D9" s="861"/>
      <c r="E9" s="861"/>
      <c r="F9" s="861"/>
      <c r="G9" s="861"/>
      <c r="H9" s="861"/>
      <c r="I9" s="861"/>
      <c r="J9" s="861"/>
      <c r="K9" s="861"/>
      <c r="L9" s="861"/>
      <c r="M9" s="861"/>
      <c r="N9" s="861"/>
      <c r="O9" s="861"/>
      <c r="P9" s="861"/>
      <c r="Q9" s="861"/>
      <c r="R9" s="861"/>
      <c r="S9" s="861"/>
      <c r="T9" s="861"/>
      <c r="U9" s="861"/>
      <c r="V9" s="861"/>
      <c r="W9" s="861"/>
    </row>
    <row r="10" spans="2:23">
      <c r="B10" s="786">
        <v>3</v>
      </c>
      <c r="C10" t="s">
        <v>20</v>
      </c>
    </row>
    <row r="11" spans="2:23">
      <c r="B11" s="786">
        <v>4</v>
      </c>
      <c r="C11" t="s">
        <v>21</v>
      </c>
    </row>
    <row r="12" spans="2:23">
      <c r="B12" s="786">
        <v>5</v>
      </c>
      <c r="C12" t="s">
        <v>22</v>
      </c>
    </row>
    <row r="13" spans="2:23">
      <c r="B13" s="786"/>
      <c r="C13" s="216" t="s">
        <v>16</v>
      </c>
    </row>
    <row r="14" spans="2:23">
      <c r="B14" s="786"/>
    </row>
    <row r="15" spans="2:23" s="435" customFormat="1" ht="23.25">
      <c r="B15" s="435" t="s">
        <v>23</v>
      </c>
    </row>
    <row r="16" spans="2:23">
      <c r="B16" s="786">
        <v>1</v>
      </c>
      <c r="C16" t="s">
        <v>24</v>
      </c>
    </row>
    <row r="17" spans="2:23" ht="46.5" customHeight="1">
      <c r="B17" s="787">
        <v>2</v>
      </c>
      <c r="C17" s="861" t="s">
        <v>25</v>
      </c>
      <c r="D17" s="861"/>
      <c r="E17" s="861"/>
      <c r="F17" s="861"/>
      <c r="G17" s="861"/>
      <c r="H17" s="861"/>
      <c r="I17" s="861"/>
      <c r="J17" s="861"/>
      <c r="K17" s="861"/>
      <c r="L17" s="861"/>
      <c r="M17" s="861"/>
      <c r="N17" s="861"/>
      <c r="O17" s="861"/>
      <c r="P17" s="861"/>
      <c r="Q17" s="861"/>
      <c r="R17" s="861"/>
      <c r="S17" s="861"/>
      <c r="T17" s="861"/>
      <c r="U17" s="861"/>
      <c r="V17" s="861"/>
      <c r="W17" s="861"/>
    </row>
    <row r="18" spans="2:23">
      <c r="B18" s="786">
        <v>3</v>
      </c>
      <c r="C18" t="s">
        <v>26</v>
      </c>
    </row>
    <row r="19" spans="2:23" ht="30" customHeight="1">
      <c r="B19" s="787">
        <v>4</v>
      </c>
      <c r="C19" s="860" t="s">
        <v>27</v>
      </c>
      <c r="D19" s="862"/>
      <c r="E19" s="862"/>
      <c r="F19" s="862"/>
      <c r="G19" s="862"/>
      <c r="H19" s="862"/>
      <c r="I19" s="862"/>
      <c r="J19" s="862"/>
      <c r="K19" s="862"/>
      <c r="L19" s="862"/>
      <c r="M19" s="862"/>
      <c r="N19" s="862"/>
      <c r="O19" s="862"/>
      <c r="P19" s="862"/>
      <c r="Q19" s="862"/>
      <c r="R19" s="862"/>
      <c r="S19" s="862"/>
      <c r="T19" s="862"/>
      <c r="U19" s="862"/>
      <c r="V19" s="862"/>
      <c r="W19" s="862"/>
    </row>
    <row r="20" spans="2:23">
      <c r="B20" s="786">
        <v>5</v>
      </c>
      <c r="C20" t="s">
        <v>22</v>
      </c>
    </row>
    <row r="21" spans="2:23">
      <c r="B21" s="786"/>
      <c r="C21" s="216" t="s">
        <v>16</v>
      </c>
    </row>
    <row r="22" spans="2:23">
      <c r="B22" s="786"/>
    </row>
    <row r="23" spans="2:23" s="435" customFormat="1" ht="23.25">
      <c r="B23" s="435" t="s">
        <v>28</v>
      </c>
    </row>
    <row r="24" spans="2:23">
      <c r="B24" s="786">
        <v>1</v>
      </c>
      <c r="C24" t="s">
        <v>29</v>
      </c>
    </row>
    <row r="25" spans="2:23">
      <c r="B25" s="786">
        <v>2</v>
      </c>
      <c r="C25" t="s">
        <v>30</v>
      </c>
    </row>
    <row r="26" spans="2:23">
      <c r="B26" s="786">
        <v>3</v>
      </c>
      <c r="C26" t="s">
        <v>31</v>
      </c>
    </row>
    <row r="27" spans="2:23">
      <c r="B27" s="786">
        <v>4</v>
      </c>
      <c r="C27" t="s">
        <v>22</v>
      </c>
    </row>
    <row r="28" spans="2:23">
      <c r="B28" s="786"/>
      <c r="C28" s="216" t="s">
        <v>16</v>
      </c>
    </row>
    <row r="29" spans="2:23">
      <c r="B29" s="786"/>
    </row>
    <row r="30" spans="2:23" s="435" customFormat="1" ht="23.25">
      <c r="B30" s="435" t="s">
        <v>32</v>
      </c>
    </row>
    <row r="31" spans="2:23">
      <c r="B31" s="786">
        <v>1</v>
      </c>
      <c r="C31" t="s">
        <v>18</v>
      </c>
    </row>
    <row r="32" spans="2:23">
      <c r="B32" s="786">
        <v>2</v>
      </c>
      <c r="C32" t="s">
        <v>33</v>
      </c>
    </row>
    <row r="33" spans="2:23" ht="60" customHeight="1">
      <c r="B33" s="787">
        <v>3</v>
      </c>
      <c r="C33" s="861" t="s">
        <v>34</v>
      </c>
      <c r="D33" s="861"/>
      <c r="E33" s="861"/>
      <c r="F33" s="861"/>
      <c r="G33" s="861"/>
      <c r="H33" s="861"/>
      <c r="I33" s="861"/>
      <c r="J33" s="861"/>
      <c r="K33" s="861"/>
      <c r="L33" s="861"/>
      <c r="M33" s="861"/>
      <c r="N33" s="861"/>
      <c r="O33" s="861"/>
      <c r="P33" s="861"/>
      <c r="Q33" s="861"/>
      <c r="R33" s="861"/>
      <c r="S33" s="861"/>
      <c r="T33" s="861"/>
      <c r="U33" s="861"/>
      <c r="V33" s="861"/>
      <c r="W33" s="861"/>
    </row>
    <row r="34" spans="2:23">
      <c r="B34" s="786">
        <v>4</v>
      </c>
      <c r="C34" t="s">
        <v>35</v>
      </c>
    </row>
    <row r="35" spans="2:23">
      <c r="B35" s="786">
        <v>5</v>
      </c>
      <c r="C35" t="s">
        <v>22</v>
      </c>
    </row>
    <row r="36" spans="2:23">
      <c r="B36" s="786"/>
      <c r="C36" s="216" t="s">
        <v>16</v>
      </c>
    </row>
    <row r="37" spans="2:23">
      <c r="B37" s="786"/>
    </row>
    <row r="38" spans="2:23" s="435" customFormat="1" ht="23.25">
      <c r="B38" s="435" t="s">
        <v>36</v>
      </c>
    </row>
    <row r="39" spans="2:23">
      <c r="B39" s="786">
        <v>1</v>
      </c>
      <c r="C39" t="s">
        <v>37</v>
      </c>
    </row>
    <row r="40" spans="2:23" ht="45" customHeight="1">
      <c r="B40" s="787">
        <v>2</v>
      </c>
      <c r="C40" s="859" t="s">
        <v>38</v>
      </c>
      <c r="D40" s="859"/>
      <c r="E40" s="859"/>
      <c r="F40" s="859"/>
      <c r="G40" s="859"/>
      <c r="H40" s="859"/>
      <c r="I40" s="859"/>
      <c r="J40" s="859"/>
      <c r="K40" s="859"/>
      <c r="L40" s="859"/>
      <c r="M40" s="859"/>
      <c r="N40" s="859"/>
      <c r="O40" s="859"/>
      <c r="P40" s="859"/>
      <c r="Q40" s="859"/>
      <c r="R40" s="859"/>
      <c r="S40" s="859"/>
      <c r="T40" s="859"/>
      <c r="U40" s="859"/>
      <c r="V40" s="859"/>
      <c r="W40" s="859"/>
    </row>
    <row r="41" spans="2:23">
      <c r="B41" s="786">
        <v>3</v>
      </c>
      <c r="C41" t="s">
        <v>39</v>
      </c>
    </row>
    <row r="42" spans="2:23" ht="31.5" customHeight="1">
      <c r="B42" s="787">
        <v>4</v>
      </c>
      <c r="C42" s="860" t="s">
        <v>40</v>
      </c>
      <c r="D42" s="861"/>
      <c r="E42" s="861"/>
      <c r="F42" s="861"/>
      <c r="G42" s="861"/>
      <c r="H42" s="861"/>
      <c r="I42" s="861"/>
      <c r="J42" s="861"/>
      <c r="K42" s="861"/>
      <c r="L42" s="861"/>
      <c r="M42" s="861"/>
      <c r="N42" s="861"/>
      <c r="O42" s="861"/>
      <c r="P42" s="861"/>
      <c r="Q42" s="861"/>
      <c r="R42" s="861"/>
      <c r="S42" s="861"/>
      <c r="T42" s="861"/>
      <c r="U42" s="861"/>
      <c r="V42" s="861"/>
      <c r="W42" s="861"/>
    </row>
    <row r="43" spans="2:23">
      <c r="B43" s="786">
        <v>5</v>
      </c>
      <c r="C43" t="s">
        <v>41</v>
      </c>
    </row>
    <row r="44" spans="2:23">
      <c r="B44" s="786"/>
      <c r="C44" s="216" t="s">
        <v>16</v>
      </c>
    </row>
    <row r="45" spans="2:23">
      <c r="B45" s="786"/>
    </row>
    <row r="46" spans="2:23" s="435" customFormat="1" ht="23.25"/>
  </sheetData>
  <mergeCells count="7">
    <mergeCell ref="C40:W40"/>
    <mergeCell ref="C42:W42"/>
    <mergeCell ref="C3:W3"/>
    <mergeCell ref="C19:W19"/>
    <mergeCell ref="C9:W9"/>
    <mergeCell ref="C17:W17"/>
    <mergeCell ref="C33:W3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275C3-75D2-436F-B015-3721DA033590}">
  <sheetPr codeName="Sheet2">
    <tabColor rgb="FF00B050"/>
  </sheetPr>
  <dimension ref="B1:W96"/>
  <sheetViews>
    <sheetView showGridLines="0" showRowColHeaders="0" topLeftCell="D60" zoomScaleNormal="100" workbookViewId="0">
      <selection activeCell="F71" sqref="F71"/>
    </sheetView>
  </sheetViews>
  <sheetFormatPr baseColWidth="10" defaultColWidth="9.140625" defaultRowHeight="15"/>
  <cols>
    <col min="1" max="1" width="14.28515625" customWidth="1"/>
    <col min="2" max="2" width="3.85546875" customWidth="1"/>
    <col min="3" max="3" width="47" customWidth="1"/>
    <col min="4" max="4" width="26.7109375" customWidth="1"/>
    <col min="5" max="5" width="31.5703125" customWidth="1"/>
    <col min="6" max="6" width="26.28515625" customWidth="1"/>
    <col min="7" max="11" width="20.7109375" customWidth="1"/>
    <col min="12" max="12" width="27.140625" customWidth="1"/>
    <col min="13" max="13" width="22.140625" customWidth="1"/>
    <col min="14" max="14" width="35.28515625" customWidth="1"/>
    <col min="16" max="16" width="19" hidden="1" customWidth="1"/>
    <col min="17" max="17" width="14.28515625" hidden="1" customWidth="1"/>
    <col min="18" max="19" width="8.7109375" hidden="1" customWidth="1"/>
    <col min="20" max="20" width="22.7109375" hidden="1" customWidth="1"/>
    <col min="21" max="21" width="21.85546875" hidden="1" customWidth="1"/>
    <col min="22" max="22" width="8.7109375" hidden="1" customWidth="1"/>
    <col min="23" max="23" width="9.140625" hidden="1" customWidth="1"/>
  </cols>
  <sheetData>
    <row r="1" spans="2:16" s="364" customFormat="1"/>
    <row r="2" spans="2:16" s="364" customFormat="1"/>
    <row r="3" spans="2:16" s="364" customFormat="1"/>
    <row r="4" spans="2:16" s="364" customFormat="1"/>
    <row r="5" spans="2:16" s="364" customFormat="1"/>
    <row r="6" spans="2:16" s="364" customFormat="1"/>
    <row r="7" spans="2:16" s="364" customFormat="1"/>
    <row r="15" spans="2:16">
      <c r="B15" s="483"/>
      <c r="C15" s="484"/>
      <c r="D15" s="484"/>
      <c r="E15" s="484"/>
      <c r="F15" s="484"/>
      <c r="G15" s="484"/>
      <c r="H15" s="484"/>
      <c r="I15" s="484"/>
      <c r="J15" s="484"/>
      <c r="K15" s="484"/>
      <c r="L15" s="484"/>
      <c r="M15" s="484"/>
      <c r="N15" s="484"/>
      <c r="O15" s="484"/>
      <c r="P15" s="485"/>
    </row>
    <row r="16" spans="2:16">
      <c r="B16" s="486"/>
      <c r="C16" s="207" t="s">
        <v>42</v>
      </c>
      <c r="D16" s="691"/>
      <c r="E16" s="207"/>
      <c r="F16" s="207"/>
      <c r="P16" s="692"/>
    </row>
    <row r="17" spans="2:16">
      <c r="B17" s="486"/>
      <c r="C17" s="207" t="s">
        <v>43</v>
      </c>
      <c r="D17" s="691"/>
      <c r="E17" s="207"/>
      <c r="F17" s="207"/>
      <c r="P17" s="692"/>
    </row>
    <row r="18" spans="2:16">
      <c r="B18" s="486"/>
      <c r="P18" s="692"/>
    </row>
    <row r="19" spans="2:16">
      <c r="B19" s="486"/>
      <c r="C19" s="207" t="s">
        <v>44</v>
      </c>
      <c r="D19" s="316" t="s">
        <v>1882</v>
      </c>
      <c r="E19" s="207" t="s">
        <v>46</v>
      </c>
      <c r="F19" s="207"/>
      <c r="P19" s="692"/>
    </row>
    <row r="20" spans="2:16">
      <c r="B20" s="486"/>
      <c r="E20" s="693" t="s">
        <v>47</v>
      </c>
      <c r="P20" s="692"/>
    </row>
    <row r="21" spans="2:16">
      <c r="B21" s="486"/>
      <c r="E21" s="693"/>
      <c r="P21" s="692"/>
    </row>
    <row r="22" spans="2:16">
      <c r="B22" s="486"/>
      <c r="C22" s="207" t="s">
        <v>48</v>
      </c>
      <c r="D22" s="499" t="s">
        <v>1219</v>
      </c>
      <c r="E22" s="867" t="s">
        <v>50</v>
      </c>
      <c r="F22" s="867"/>
      <c r="G22" s="867"/>
      <c r="H22" s="867"/>
      <c r="I22" s="867"/>
      <c r="J22" s="867"/>
      <c r="K22" s="867"/>
      <c r="L22" s="867"/>
      <c r="M22" s="867"/>
      <c r="N22" s="867"/>
      <c r="O22" s="867"/>
      <c r="P22" s="868"/>
    </row>
    <row r="23" spans="2:16">
      <c r="B23" s="486"/>
      <c r="E23" s="867" t="s">
        <v>51</v>
      </c>
      <c r="F23" s="867"/>
      <c r="G23" s="867"/>
      <c r="H23" s="867"/>
      <c r="I23" s="867"/>
      <c r="J23" s="867"/>
      <c r="K23" s="867"/>
      <c r="L23" s="867"/>
      <c r="M23" s="867"/>
      <c r="N23" s="867"/>
      <c r="O23" s="867"/>
      <c r="P23" s="868"/>
    </row>
    <row r="24" spans="2:16">
      <c r="B24" s="486"/>
      <c r="E24" s="867" t="s">
        <v>52</v>
      </c>
      <c r="F24" s="867"/>
      <c r="G24" s="867"/>
      <c r="H24" s="867"/>
      <c r="I24" s="867"/>
      <c r="J24" s="867"/>
      <c r="K24" s="867"/>
      <c r="L24" s="867"/>
      <c r="M24" s="867"/>
      <c r="N24" s="867"/>
      <c r="O24" s="867"/>
      <c r="P24" s="868"/>
    </row>
    <row r="25" spans="2:16">
      <c r="B25" s="487"/>
      <c r="C25" s="694"/>
      <c r="D25" s="694"/>
      <c r="E25" s="694"/>
      <c r="F25" s="694"/>
      <c r="G25" s="694"/>
      <c r="H25" s="694"/>
      <c r="I25" s="694"/>
      <c r="J25" s="694"/>
      <c r="K25" s="694"/>
      <c r="L25" s="694"/>
      <c r="M25" s="694"/>
      <c r="N25" s="694"/>
      <c r="O25" s="694"/>
      <c r="P25" s="695"/>
    </row>
    <row r="28" spans="2:16" ht="23.25">
      <c r="B28" s="435" t="s">
        <v>53</v>
      </c>
      <c r="C28" s="311"/>
      <c r="D28" s="311"/>
      <c r="E28" s="311"/>
      <c r="F28" s="311"/>
      <c r="G28" s="311"/>
      <c r="H28" s="311"/>
    </row>
    <row r="29" spans="2:16">
      <c r="B29" s="483"/>
      <c r="C29" s="484"/>
      <c r="D29" s="484"/>
      <c r="E29" s="484"/>
      <c r="F29" s="484"/>
      <c r="G29" s="484"/>
      <c r="H29" s="485"/>
    </row>
    <row r="30" spans="2:16">
      <c r="B30" s="486"/>
      <c r="C30" s="318" t="s">
        <v>54</v>
      </c>
      <c r="D30" s="318" t="s">
        <v>55</v>
      </c>
      <c r="E30" s="318" t="s">
        <v>56</v>
      </c>
      <c r="F30" s="884" t="s">
        <v>57</v>
      </c>
      <c r="G30" s="884"/>
      <c r="H30" s="692"/>
      <c r="K30" s="217" t="s">
        <v>58</v>
      </c>
    </row>
    <row r="31" spans="2:16">
      <c r="B31" s="486"/>
      <c r="C31" s="315"/>
      <c r="D31" s="840"/>
      <c r="E31" s="840"/>
      <c r="F31" s="883"/>
      <c r="G31" s="883"/>
      <c r="H31" s="692"/>
      <c r="K31" s="217">
        <f t="shared" ref="K31:K36" si="0">H31-G31+1</f>
        <v>1</v>
      </c>
    </row>
    <row r="32" spans="2:16">
      <c r="B32" s="486"/>
      <c r="C32" s="315"/>
      <c r="D32" s="840"/>
      <c r="E32" s="840"/>
      <c r="F32" s="883"/>
      <c r="G32" s="883"/>
      <c r="H32" s="692"/>
      <c r="K32" s="217">
        <f t="shared" si="0"/>
        <v>1</v>
      </c>
    </row>
    <row r="33" spans="2:23">
      <c r="B33" s="486"/>
      <c r="C33" s="315"/>
      <c r="D33" s="840"/>
      <c r="E33" s="840"/>
      <c r="F33" s="883"/>
      <c r="G33" s="883"/>
      <c r="H33" s="692"/>
      <c r="K33" s="217">
        <f t="shared" si="0"/>
        <v>1</v>
      </c>
    </row>
    <row r="34" spans="2:23">
      <c r="B34" s="486"/>
      <c r="C34" s="315"/>
      <c r="D34" s="840"/>
      <c r="E34" s="840"/>
      <c r="F34" s="883"/>
      <c r="G34" s="883"/>
      <c r="H34" s="692"/>
      <c r="K34" s="217">
        <f t="shared" si="0"/>
        <v>1</v>
      </c>
    </row>
    <row r="35" spans="2:23">
      <c r="B35" s="486"/>
      <c r="C35" s="315"/>
      <c r="D35" s="840"/>
      <c r="E35" s="840"/>
      <c r="F35" s="883"/>
      <c r="G35" s="883"/>
      <c r="H35" s="692"/>
      <c r="I35" s="214"/>
      <c r="J35" s="214"/>
      <c r="K35" s="217">
        <f t="shared" si="0"/>
        <v>1</v>
      </c>
    </row>
    <row r="36" spans="2:23">
      <c r="B36" s="486"/>
      <c r="C36" s="315"/>
      <c r="D36" s="840"/>
      <c r="E36" s="840"/>
      <c r="F36" s="883"/>
      <c r="G36" s="883"/>
      <c r="H36" s="692"/>
      <c r="I36" s="214"/>
      <c r="J36" s="214"/>
      <c r="K36" s="217">
        <f t="shared" si="0"/>
        <v>1</v>
      </c>
    </row>
    <row r="37" spans="2:23">
      <c r="B37" s="487"/>
      <c r="C37" s="694"/>
      <c r="D37" s="694"/>
      <c r="E37" s="694"/>
      <c r="F37" s="694"/>
      <c r="G37" s="694"/>
      <c r="H37" s="695"/>
      <c r="I37" s="214"/>
      <c r="J37" s="214"/>
      <c r="K37" s="217"/>
    </row>
    <row r="38" spans="2:23">
      <c r="I38" s="214"/>
      <c r="J38" s="214"/>
      <c r="K38" s="217"/>
    </row>
    <row r="39" spans="2:23">
      <c r="I39" s="214"/>
      <c r="J39" s="214"/>
      <c r="K39" s="217"/>
    </row>
    <row r="40" spans="2:23" ht="23.25">
      <c r="B40" s="435" t="s">
        <v>59</v>
      </c>
      <c r="C40" s="338"/>
      <c r="D40" s="338"/>
      <c r="E40" s="338"/>
      <c r="F40" s="338"/>
      <c r="G40" s="338"/>
      <c r="H40" s="338"/>
      <c r="I40" s="338"/>
      <c r="J40" s="338"/>
      <c r="K40" s="338"/>
      <c r="L40" s="338"/>
    </row>
    <row r="41" spans="2:23">
      <c r="B41" s="483"/>
      <c r="C41" s="484"/>
      <c r="D41" s="484"/>
      <c r="E41" s="484"/>
      <c r="F41" s="484"/>
      <c r="G41" s="484"/>
      <c r="H41" s="484"/>
      <c r="I41" s="484"/>
      <c r="J41" s="484"/>
      <c r="K41" s="492"/>
      <c r="L41" s="485"/>
    </row>
    <row r="42" spans="2:23" ht="14.65" customHeight="1">
      <c r="B42" s="486"/>
      <c r="C42" s="317" t="s">
        <v>60</v>
      </c>
      <c r="D42" s="318" t="s">
        <v>61</v>
      </c>
      <c r="E42" s="318" t="s">
        <v>62</v>
      </c>
      <c r="F42" s="318" t="s">
        <v>63</v>
      </c>
      <c r="G42" s="319" t="s">
        <v>64</v>
      </c>
      <c r="I42" s="885" t="s">
        <v>65</v>
      </c>
      <c r="J42" s="885"/>
      <c r="K42" s="885"/>
      <c r="L42" s="886"/>
      <c r="W42">
        <f>ROW(O42)</f>
        <v>42</v>
      </c>
    </row>
    <row r="43" spans="2:23">
      <c r="B43" s="486"/>
      <c r="C43" s="320"/>
      <c r="D43" s="321"/>
      <c r="E43" s="321"/>
      <c r="F43" s="340">
        <f>ROW(I43)-ROW($J$42)</f>
        <v>1</v>
      </c>
      <c r="G43" s="355"/>
      <c r="I43" s="885"/>
      <c r="J43" s="885"/>
      <c r="K43" s="885"/>
      <c r="L43" s="886"/>
    </row>
    <row r="44" spans="2:23">
      <c r="B44" s="486"/>
      <c r="C44" s="320"/>
      <c r="D44" s="321"/>
      <c r="E44" s="321"/>
      <c r="F44" s="340">
        <f>ROW(I44)-ROW($J$42)</f>
        <v>2</v>
      </c>
      <c r="G44" s="355"/>
      <c r="I44" s="489" t="s">
        <v>68</v>
      </c>
      <c r="J44" s="490"/>
      <c r="K44" s="490"/>
      <c r="L44" s="491"/>
    </row>
    <row r="45" spans="2:23">
      <c r="B45" s="486"/>
      <c r="C45" s="320"/>
      <c r="D45" s="321"/>
      <c r="E45" s="321"/>
      <c r="F45" s="340">
        <f t="shared" ref="F45:F52" si="1">ROW(I45)-ROW($J$42)</f>
        <v>3</v>
      </c>
      <c r="G45" s="355"/>
      <c r="I45" s="693" t="s">
        <v>69</v>
      </c>
      <c r="J45" s="241"/>
      <c r="L45" s="692"/>
    </row>
    <row r="46" spans="2:23" ht="15" customHeight="1">
      <c r="B46" s="486"/>
      <c r="C46" s="320"/>
      <c r="D46" s="321"/>
      <c r="E46" s="321"/>
      <c r="F46" s="340">
        <f t="shared" si="1"/>
        <v>4</v>
      </c>
      <c r="G46" s="355"/>
      <c r="I46" s="865" t="s">
        <v>70</v>
      </c>
      <c r="J46" s="865"/>
      <c r="K46" s="865"/>
      <c r="L46" s="866"/>
    </row>
    <row r="47" spans="2:23">
      <c r="B47" s="486"/>
      <c r="C47" s="320"/>
      <c r="D47" s="321"/>
      <c r="E47" s="321"/>
      <c r="F47" s="340">
        <f t="shared" si="1"/>
        <v>5</v>
      </c>
      <c r="G47" s="355"/>
      <c r="I47" s="865"/>
      <c r="J47" s="865"/>
      <c r="K47" s="865"/>
      <c r="L47" s="866"/>
    </row>
    <row r="48" spans="2:23">
      <c r="B48" s="486"/>
      <c r="C48" s="320"/>
      <c r="D48" s="321"/>
      <c r="E48" s="321"/>
      <c r="F48" s="340">
        <f t="shared" si="1"/>
        <v>6</v>
      </c>
      <c r="G48" s="355"/>
      <c r="J48" s="241"/>
      <c r="L48" s="692"/>
    </row>
    <row r="49" spans="2:23" ht="14.65" customHeight="1">
      <c r="B49" s="486"/>
      <c r="C49" s="320"/>
      <c r="D49" s="321"/>
      <c r="E49" s="321"/>
      <c r="F49" s="340">
        <f t="shared" si="1"/>
        <v>7</v>
      </c>
      <c r="G49" s="355"/>
      <c r="I49" s="865" t="s">
        <v>71</v>
      </c>
      <c r="J49" s="865"/>
      <c r="K49" s="865"/>
      <c r="L49" s="866"/>
      <c r="M49" s="360"/>
    </row>
    <row r="50" spans="2:23">
      <c r="B50" s="486"/>
      <c r="C50" s="320"/>
      <c r="D50" s="321"/>
      <c r="E50" s="321"/>
      <c r="F50" s="340">
        <f t="shared" si="1"/>
        <v>8</v>
      </c>
      <c r="G50" s="355"/>
      <c r="I50" s="865"/>
      <c r="J50" s="865"/>
      <c r="K50" s="865"/>
      <c r="L50" s="866"/>
      <c r="M50" s="360"/>
    </row>
    <row r="51" spans="2:23">
      <c r="B51" s="486"/>
      <c r="C51" s="320"/>
      <c r="D51" s="321"/>
      <c r="E51" s="321"/>
      <c r="F51" s="340">
        <f t="shared" si="1"/>
        <v>9</v>
      </c>
      <c r="G51" s="355"/>
      <c r="J51" s="241"/>
      <c r="L51" s="692"/>
    </row>
    <row r="52" spans="2:23">
      <c r="B52" s="486"/>
      <c r="C52" s="322"/>
      <c r="D52" s="323"/>
      <c r="E52" s="323"/>
      <c r="F52" s="340">
        <f t="shared" si="1"/>
        <v>10</v>
      </c>
      <c r="G52" s="355"/>
      <c r="I52" s="875" t="s">
        <v>72</v>
      </c>
      <c r="J52" s="875"/>
      <c r="K52" s="875"/>
      <c r="L52" s="876"/>
    </row>
    <row r="53" spans="2:23">
      <c r="B53" s="487"/>
      <c r="C53" s="694"/>
      <c r="D53" s="694"/>
      <c r="E53" s="694"/>
      <c r="F53" s="694"/>
      <c r="G53" s="694"/>
      <c r="H53" s="694"/>
      <c r="I53" s="877"/>
      <c r="J53" s="877"/>
      <c r="K53" s="877"/>
      <c r="L53" s="878"/>
    </row>
    <row r="54" spans="2:23">
      <c r="L54" s="207"/>
    </row>
    <row r="55" spans="2:23">
      <c r="L55" s="207"/>
    </row>
    <row r="56" spans="2:23">
      <c r="L56" s="207"/>
    </row>
    <row r="57" spans="2:23" ht="26.25">
      <c r="C57" s="493" t="s">
        <v>73</v>
      </c>
      <c r="L57" s="207"/>
    </row>
    <row r="58" spans="2:23">
      <c r="C58" s="869" t="s">
        <v>74</v>
      </c>
      <c r="D58" s="870"/>
      <c r="E58" s="870"/>
      <c r="F58" s="870"/>
      <c r="G58" s="870"/>
      <c r="H58" s="870"/>
      <c r="I58" s="870"/>
      <c r="J58" s="870"/>
      <c r="K58" s="870"/>
      <c r="L58" s="871"/>
    </row>
    <row r="59" spans="2:23">
      <c r="C59" s="872"/>
      <c r="D59" s="873"/>
      <c r="E59" s="873"/>
      <c r="F59" s="873"/>
      <c r="G59" s="873"/>
      <c r="H59" s="873"/>
      <c r="I59" s="873"/>
      <c r="J59" s="873"/>
      <c r="K59" s="873"/>
      <c r="L59" s="874"/>
    </row>
    <row r="60" spans="2:23">
      <c r="L60" s="207"/>
    </row>
    <row r="61" spans="2:23">
      <c r="C61" s="879" t="s">
        <v>73</v>
      </c>
      <c r="D61" s="879"/>
      <c r="E61" s="879"/>
      <c r="F61" s="879"/>
      <c r="G61" s="879"/>
      <c r="H61" s="879"/>
      <c r="I61" s="879"/>
      <c r="J61" s="879"/>
      <c r="K61" s="879"/>
      <c r="L61" s="879"/>
      <c r="M61" s="879"/>
      <c r="N61" s="879"/>
    </row>
    <row r="62" spans="2:23">
      <c r="C62" s="879"/>
      <c r="D62" s="879"/>
      <c r="E62" s="879"/>
      <c r="F62" s="879"/>
      <c r="G62" s="879"/>
      <c r="H62" s="879"/>
      <c r="I62" s="879"/>
      <c r="J62" s="879"/>
      <c r="K62" s="879"/>
      <c r="L62" s="879"/>
      <c r="M62" s="879"/>
      <c r="N62" s="879"/>
    </row>
    <row r="63" spans="2:23">
      <c r="C63" s="863" t="s">
        <v>75</v>
      </c>
      <c r="D63" s="863" t="s">
        <v>76</v>
      </c>
      <c r="E63" s="863" t="s">
        <v>77</v>
      </c>
      <c r="F63" s="863" t="s">
        <v>78</v>
      </c>
      <c r="G63" s="880" t="s">
        <v>79</v>
      </c>
      <c r="H63" s="881"/>
      <c r="I63" s="881"/>
      <c r="J63" s="881"/>
      <c r="K63" s="881"/>
      <c r="L63" s="881"/>
      <c r="M63" s="882"/>
      <c r="N63" s="863" t="s">
        <v>80</v>
      </c>
    </row>
    <row r="64" spans="2:23" ht="52.15" customHeight="1">
      <c r="C64" s="864"/>
      <c r="D64" s="864"/>
      <c r="E64" s="864"/>
      <c r="F64" s="864"/>
      <c r="G64" s="832" t="s">
        <v>81</v>
      </c>
      <c r="H64" s="832" t="s">
        <v>82</v>
      </c>
      <c r="I64" s="832" t="s">
        <v>83</v>
      </c>
      <c r="J64" s="832" t="s">
        <v>84</v>
      </c>
      <c r="K64" s="327" t="s">
        <v>85</v>
      </c>
      <c r="L64" s="832" t="s">
        <v>86</v>
      </c>
      <c r="M64" s="832" t="s">
        <v>87</v>
      </c>
      <c r="N64" s="864"/>
      <c r="P64" t="s">
        <v>88</v>
      </c>
      <c r="Q64" t="s">
        <v>89</v>
      </c>
      <c r="R64" t="s">
        <v>90</v>
      </c>
      <c r="S64" t="s">
        <v>91</v>
      </c>
      <c r="T64" t="s">
        <v>92</v>
      </c>
      <c r="U64" t="s">
        <v>93</v>
      </c>
      <c r="V64" t="s">
        <v>94</v>
      </c>
      <c r="W64">
        <f>ROW(O64)</f>
        <v>64</v>
      </c>
    </row>
    <row r="65" spans="3:22">
      <c r="C65" s="328" t="s">
        <v>1884</v>
      </c>
      <c r="D65" s="329" t="s">
        <v>95</v>
      </c>
      <c r="E65" s="329" t="s">
        <v>89</v>
      </c>
      <c r="F65" s="330" t="s">
        <v>1884</v>
      </c>
      <c r="G65" s="330">
        <v>2.67</v>
      </c>
      <c r="H65" s="330"/>
      <c r="I65" s="330"/>
      <c r="J65" s="330"/>
      <c r="K65" s="342">
        <f>IFERROR(IF(Parameters!$D$19="5th Assessment", (G65*Data!$AJ$5)+(H65*Data!$AJ$6)+(I65*Data!$AJ$7), (G65*Data!$AI$5)+(H65*Data!$AI$6)+(I65*Data!$AI$7)), "")</f>
        <v>2.67</v>
      </c>
      <c r="L65" s="329" t="s">
        <v>96</v>
      </c>
      <c r="M65" s="329" t="s">
        <v>1237</v>
      </c>
      <c r="N65" s="331"/>
      <c r="P65" t="str">
        <f t="array" ref="P65:P94">IFERROR(INDEX(Custom_EF[[#All],[Column1]], SMALL(IF($P$64=Custom_EF[[#All],[Column3]], ROW(Custom_EF[[#All],[Column1]])-W64, ""), ROW()-W64)), "")</f>
        <v>cinta transportadora (estacionaria)</v>
      </c>
      <c r="Q65" t="str">
        <f t="array" ref="Q65:Q94">IFERROR(INDEX(Custom_EF[[#All],[Column1]], SMALL(IF($Q$64=Custom_EF[[#All],[Column3]], ROW(Custom_EF[[#All],[Column1]])-W64, ""), ROW()-W64)), "")</f>
        <v>Cosechadora (movil)</v>
      </c>
      <c r="R65" t="str">
        <f t="array" ref="R65:R94">IFERROR(INDEX(Custom_EF[[#All],[Column1]], SMALL(IF($R$64=Custom_EF[[#All],[Column3]], ROW(Custom_EF[[#All],[Column1]])-W64, ""), ROW()-W64)), "")</f>
        <v/>
      </c>
      <c r="S65" t="str">
        <f t="array" ref="S65">IFERROR(INDEX(Custom_EF[[#All],[Column1]], SMALL(IF($S$64=Custom_EF[[#All],[Column3]], ROW(Custom_EF[[#All],[Column1]])-W64, ""), ROW()-W64)), "")</f>
        <v/>
      </c>
      <c r="T65" t="str">
        <f t="array" ref="T65:T94">IFERROR(INDEX(Custom_EF[[#All],[Column1]], SMALL(IF($T$64=Custom_EF[[#All],[Column3]], ROW(Custom_EF[[#All],[Column1]])-W64, ""), ROW()-W64)), "")</f>
        <v>Motor electrico</v>
      </c>
      <c r="U65" t="str">
        <f t="array" ref="U65:U94">IFERROR(INDEX(Custom_EF[[#All],[Column1]], SMALL(IF($U$64=Custom_EF[[#All],[Column3]], ROW(Custom_EF[[#All],[Column1]])-W64, ""), ROW()-W64)), "")</f>
        <v/>
      </c>
      <c r="V65" t="str">
        <f t="array" ref="V65:V94">IFERROR(INDEX(Custom_EF[[#All],[Column1]], SMALL(IF($V$64=Custom_EF[[#All],[Column3]], ROW(Custom_EF[[#All],[Column1]])-W64, ""), ROW()-W64)), "")</f>
        <v>raspadora (movil)</v>
      </c>
    </row>
    <row r="66" spans="3:22">
      <c r="C66" s="332" t="s">
        <v>1885</v>
      </c>
      <c r="D66" s="329" t="s">
        <v>95</v>
      </c>
      <c r="E66" s="329" t="s">
        <v>88</v>
      </c>
      <c r="F66" s="315" t="s">
        <v>1885</v>
      </c>
      <c r="G66" s="315">
        <v>2.73</v>
      </c>
      <c r="H66" s="315"/>
      <c r="I66" s="315"/>
      <c r="J66" s="315"/>
      <c r="K66" s="342">
        <f>IFERROR(IF(Parameters!$D$19="5th Assessment", (G66*Data!$AJ$5)+(H66*Data!$AJ$6)+(I66*Data!$AJ$7), (G66*Data!$AI$5)+(H66*Data!$AI$6)+(I66*Data!$AI$7)), "")</f>
        <v>2.73</v>
      </c>
      <c r="L66" s="329" t="s">
        <v>96</v>
      </c>
      <c r="M66" s="329" t="s">
        <v>1237</v>
      </c>
      <c r="N66" s="333"/>
      <c r="P66" t="str">
        <v>centrifugas (estacionarias)</v>
      </c>
      <c r="Q66" t="str">
        <v>camionetas (movil)</v>
      </c>
      <c r="R66" t="str">
        <v/>
      </c>
      <c r="S66" t="str">
        <f t="array" ref="S66">IFERROR(INDEX(Custom_EF[[#All],[Column1]], SMALL(IF($S$64=Custom_EF[[#All],[Column3]], ROW(Custom_EF[[#All],[Column1]])-W64, ""), ROW()-W64)), "")</f>
        <v/>
      </c>
      <c r="T66" t="str">
        <v>hidrociclon</v>
      </c>
      <c r="U66" t="str">
        <v/>
      </c>
      <c r="V66" t="str">
        <v>niveladora (movil)</v>
      </c>
    </row>
    <row r="67" spans="3:22">
      <c r="C67" s="332" t="s">
        <v>1886</v>
      </c>
      <c r="D67" s="329" t="s">
        <v>95</v>
      </c>
      <c r="E67" s="329" t="s">
        <v>88</v>
      </c>
      <c r="F67" s="315" t="s">
        <v>1886</v>
      </c>
      <c r="G67" s="315">
        <v>2.42</v>
      </c>
      <c r="H67" s="315"/>
      <c r="I67" s="315"/>
      <c r="J67" s="315"/>
      <c r="K67" s="342">
        <f>IFERROR(IF(Parameters!$D$19="5th Assessment", (G67*Data!$AJ$5)+(H67*Data!$AJ$6)+(I67*Data!$AJ$7), (G67*Data!$AI$5)+(H67*Data!$AI$6)+(I67*Data!$AI$7)), "")</f>
        <v>2.42</v>
      </c>
      <c r="L67" s="329" t="s">
        <v>96</v>
      </c>
      <c r="M67" s="329" t="s">
        <v>1237</v>
      </c>
      <c r="N67" s="333"/>
      <c r="P67" t="str">
        <v/>
      </c>
      <c r="Q67" t="str">
        <v>camiones (movil)</v>
      </c>
      <c r="R67" t="str">
        <v/>
      </c>
      <c r="S67" t="str">
        <f t="array" ref="S67">IFERROR(INDEX(Custom_EF[[#All],[Column1]], SMALL(IF($S$64=Custom_EF[[#All],[Column3]], ROW(Custom_EF[[#All],[Column1]])-W64, ""), ROW()-W64)), "")</f>
        <v/>
      </c>
      <c r="T67" t="str">
        <v>horno electrico</v>
      </c>
      <c r="U67" t="str">
        <v/>
      </c>
      <c r="V67" t="str">
        <v>camiones (movil)</v>
      </c>
    </row>
    <row r="68" spans="3:22">
      <c r="C68" s="332" t="s">
        <v>1887</v>
      </c>
      <c r="D68" s="329" t="s">
        <v>95</v>
      </c>
      <c r="E68" s="329" t="s">
        <v>89</v>
      </c>
      <c r="F68" s="315" t="s">
        <v>1887</v>
      </c>
      <c r="G68" s="315">
        <v>2.67</v>
      </c>
      <c r="H68" s="315"/>
      <c r="I68" s="315"/>
      <c r="J68" s="315"/>
      <c r="K68" s="342">
        <f>IFERROR(IF(Parameters!$D$19="5th Assessment", (G68*Data!$AJ$5)+(H68*Data!$AJ$6)+(I68*Data!$AJ$7), (G68*Data!$AI$5)+(H68*Data!$AI$6)+(I68*Data!$AI$7)), "")</f>
        <v>2.67</v>
      </c>
      <c r="L68" s="329" t="s">
        <v>96</v>
      </c>
      <c r="M68" s="329" t="s">
        <v>1237</v>
      </c>
      <c r="N68" s="333"/>
      <c r="P68" t="str">
        <v/>
      </c>
      <c r="Q68" t="str">
        <v/>
      </c>
      <c r="R68" t="str">
        <v/>
      </c>
      <c r="S68" t="str">
        <f t="array" ref="S68">IFERROR(INDEX(Custom_EF[[#All],[Column1]], SMALL(IF($S$64=Custom_EF[[#All],[Column3]], ROW(Custom_EF[[#All],[Column1]])-W64, ""), ROW()-W64)), "")</f>
        <v/>
      </c>
      <c r="T68" t="str">
        <v/>
      </c>
      <c r="U68" t="str">
        <v/>
      </c>
      <c r="V68" t="str">
        <v>barco (movil)</v>
      </c>
    </row>
    <row r="69" spans="3:22">
      <c r="C69" s="332" t="s">
        <v>1888</v>
      </c>
      <c r="D69" s="329" t="s">
        <v>95</v>
      </c>
      <c r="E69" s="329" t="s">
        <v>89</v>
      </c>
      <c r="F69" s="315" t="s">
        <v>1888</v>
      </c>
      <c r="G69" s="315">
        <v>2.67</v>
      </c>
      <c r="H69" s="315"/>
      <c r="I69" s="315"/>
      <c r="J69" s="315"/>
      <c r="K69" s="342">
        <f>IFERROR(IF(Parameters!$D$19="5th Assessment", (G69*Data!$AJ$5)+(H69*Data!$AJ$6)+(I69*Data!$AJ$7), (G69*Data!$AI$5)+(H69*Data!$AI$6)+(I69*Data!$AI$7)), "")</f>
        <v>2.67</v>
      </c>
      <c r="L69" s="329" t="s">
        <v>96</v>
      </c>
      <c r="M69" s="329" t="s">
        <v>1237</v>
      </c>
      <c r="N69" s="333"/>
      <c r="P69" t="str">
        <v/>
      </c>
      <c r="Q69" t="str">
        <v/>
      </c>
      <c r="R69" t="str">
        <v/>
      </c>
      <c r="S69" t="str">
        <f t="array" ref="S69">IFERROR(INDEX(Custom_EF[[#All],[Column1]], SMALL(IF($S$64=Custom_EF[[#All],[Column3]], ROW(Custom_EF[[#All],[Column1]])-W64, ""), ROW()-W64)), "")</f>
        <v/>
      </c>
      <c r="T69" t="str">
        <v/>
      </c>
      <c r="U69" t="str">
        <v/>
      </c>
      <c r="V69" t="str">
        <v/>
      </c>
    </row>
    <row r="70" spans="3:22">
      <c r="C70" s="332" t="s">
        <v>1889</v>
      </c>
      <c r="D70" s="329" t="s">
        <v>95</v>
      </c>
      <c r="E70" s="329"/>
      <c r="F70" s="315" t="s">
        <v>1889</v>
      </c>
      <c r="G70" s="315">
        <v>1.8899999999999997</v>
      </c>
      <c r="H70" s="315"/>
      <c r="I70" s="315"/>
      <c r="J70" s="315"/>
      <c r="K70" s="342">
        <f>IFERROR(IF(Parameters!$D$19="5th Assessment", (G70*Data!$AJ$5)+(H70*Data!$AJ$6)+(I70*Data!$AJ$7), (G70*Data!$AI$5)+(H70*Data!$AI$6)+(I70*Data!$AI$7)), "")</f>
        <v>1.8899999999999997</v>
      </c>
      <c r="L70" s="329" t="s">
        <v>1480</v>
      </c>
      <c r="M70" s="316" t="s">
        <v>1898</v>
      </c>
      <c r="N70" s="333"/>
      <c r="P70" t="str">
        <v/>
      </c>
      <c r="Q70" t="str">
        <v/>
      </c>
      <c r="R70" t="str">
        <v/>
      </c>
      <c r="S70" t="str">
        <f t="array" ref="S70">IFERROR(INDEX(Custom_EF[[#All],[Column1]], SMALL(IF($S$64=Custom_EF[[#All],[Column3]], ROW(Custom_EF[[#All],[Column1]])-W64, ""), ROW()-W64)), "")</f>
        <v/>
      </c>
      <c r="T70" t="str">
        <v/>
      </c>
      <c r="U70" t="str">
        <v/>
      </c>
      <c r="V70" t="str">
        <v/>
      </c>
    </row>
    <row r="71" spans="3:22">
      <c r="C71" s="332" t="s">
        <v>1890</v>
      </c>
      <c r="D71" s="316" t="s">
        <v>100</v>
      </c>
      <c r="E71" s="329" t="s">
        <v>92</v>
      </c>
      <c r="F71" s="315" t="s">
        <v>1890</v>
      </c>
      <c r="G71" s="315">
        <v>0.45090000000000002</v>
      </c>
      <c r="H71" s="315"/>
      <c r="I71" s="315"/>
      <c r="J71" s="315"/>
      <c r="K71" s="342">
        <f>IFERROR(IF(Parameters!$D$19="5th Assessment", (G71*Data!$AJ$5)+(H71*Data!$AJ$6)+(I71*Data!$AJ$7), (G71*Data!$AI$5)+(H71*Data!$AI$6)+(I71*Data!$AI$7)), "")</f>
        <v>0.45090000000000002</v>
      </c>
      <c r="L71" s="329" t="s">
        <v>96</v>
      </c>
      <c r="M71" s="329" t="s">
        <v>1896</v>
      </c>
      <c r="N71" s="333"/>
      <c r="P71" t="str">
        <v/>
      </c>
      <c r="Q71" t="str">
        <v/>
      </c>
      <c r="R71" t="str">
        <v/>
      </c>
      <c r="S71" t="str">
        <f t="array" ref="S71">IFERROR(INDEX(Custom_EF[[#All],[Column1]], SMALL(IF($S$64=Custom_EF[[#All],[Column3]], ROW(Custom_EF[[#All],[Column1]])-W64, ""), ROW()-W64)), "")</f>
        <v/>
      </c>
      <c r="T71" t="str">
        <v/>
      </c>
      <c r="U71" t="str">
        <v/>
      </c>
      <c r="V71" t="str">
        <v/>
      </c>
    </row>
    <row r="72" spans="3:22">
      <c r="C72" s="332" t="s">
        <v>1891</v>
      </c>
      <c r="D72" s="316" t="s">
        <v>100</v>
      </c>
      <c r="E72" s="329" t="s">
        <v>92</v>
      </c>
      <c r="F72" s="315" t="s">
        <v>1891</v>
      </c>
      <c r="G72" s="315">
        <v>0.45090000000000002</v>
      </c>
      <c r="H72" s="315"/>
      <c r="I72" s="315"/>
      <c r="J72" s="315"/>
      <c r="K72" s="342">
        <f>IFERROR(IF(Parameters!$D$19="5th Assessment", (G72*Data!$AJ$5)+(H72*Data!$AJ$6)+(I72*Data!$AJ$7), (G72*Data!$AI$5)+(H72*Data!$AI$6)+(I72*Data!$AI$7)), "")</f>
        <v>0.45090000000000002</v>
      </c>
      <c r="L72" s="329" t="s">
        <v>96</v>
      </c>
      <c r="M72" s="329" t="s">
        <v>1896</v>
      </c>
      <c r="N72" s="333"/>
      <c r="P72" t="str">
        <v/>
      </c>
      <c r="Q72" t="str">
        <v/>
      </c>
      <c r="R72" t="str">
        <v/>
      </c>
      <c r="S72" t="str">
        <f t="array" ref="S72">IFERROR(INDEX(Custom_EF[[#All],[Column1]], SMALL(IF($S$64=Custom_EF[[#All],[Column3]], ROW(Custom_EF[[#All],[Column1]])-W64, ""), ROW()-W64)), "")</f>
        <v/>
      </c>
      <c r="T72" t="str">
        <v/>
      </c>
      <c r="U72" t="str">
        <v/>
      </c>
      <c r="V72" t="str">
        <v/>
      </c>
    </row>
    <row r="73" spans="3:22">
      <c r="C73" s="332" t="s">
        <v>1892</v>
      </c>
      <c r="D73" s="316" t="s">
        <v>100</v>
      </c>
      <c r="E73" s="329" t="s">
        <v>92</v>
      </c>
      <c r="F73" s="315" t="s">
        <v>1892</v>
      </c>
      <c r="G73" s="315">
        <v>0.45090000000000002</v>
      </c>
      <c r="H73" s="315"/>
      <c r="I73" s="315"/>
      <c r="J73" s="315"/>
      <c r="K73" s="342">
        <f>IFERROR(IF(Parameters!$D$19="5th Assessment", (G73*Data!$AJ$5)+(H73*Data!$AJ$6)+(I73*Data!$AJ$7), (G73*Data!$AI$5)+(H73*Data!$AI$6)+(I73*Data!$AI$7)), "")</f>
        <v>0.45090000000000002</v>
      </c>
      <c r="L73" s="329" t="s">
        <v>96</v>
      </c>
      <c r="M73" s="329" t="s">
        <v>1896</v>
      </c>
      <c r="N73" s="333"/>
      <c r="P73" t="str">
        <v/>
      </c>
      <c r="Q73" t="str">
        <v/>
      </c>
      <c r="R73" t="str">
        <v/>
      </c>
      <c r="S73" t="str">
        <f t="array" ref="S73">IFERROR(INDEX(Custom_EF[[#All],[Column1]], SMALL(IF($S$64=Custom_EF[[#All],[Column3]], ROW(Custom_EF[[#All],[Column1]])-W64, ""), ROW()-W64)), "")</f>
        <v/>
      </c>
      <c r="T73" t="str">
        <v/>
      </c>
      <c r="U73" t="str">
        <v/>
      </c>
      <c r="V73" t="str">
        <v/>
      </c>
    </row>
    <row r="74" spans="3:22">
      <c r="C74" s="332" t="s">
        <v>1893</v>
      </c>
      <c r="D74" s="316" t="s">
        <v>95</v>
      </c>
      <c r="E74" s="329" t="s">
        <v>94</v>
      </c>
      <c r="F74" s="315" t="s">
        <v>1893</v>
      </c>
      <c r="G74" s="315">
        <v>2.67</v>
      </c>
      <c r="H74" s="315"/>
      <c r="I74" s="315"/>
      <c r="J74" s="315"/>
      <c r="K74" s="342">
        <f>IFERROR(IF(Parameters!$D$19="5th Assessment", (G74*Data!$AJ$5)+(H74*Data!$AJ$6)+(I74*Data!$AJ$7), (G74*Data!$AI$5)+(H74*Data!$AI$6)+(I74*Data!$AI$7)), "")</f>
        <v>2.67</v>
      </c>
      <c r="L74" s="329" t="s">
        <v>96</v>
      </c>
      <c r="M74" s="329" t="s">
        <v>1237</v>
      </c>
      <c r="N74" s="333"/>
      <c r="P74" t="str">
        <v/>
      </c>
      <c r="Q74" t="str">
        <v/>
      </c>
      <c r="R74" t="str">
        <v/>
      </c>
      <c r="S74" t="str">
        <f t="array" ref="S74">IFERROR(INDEX(Custom_EF[[#All],[Column1]], SMALL(IF($S$64=Custom_EF[[#All],[Column3]], ROW(Custom_EF[[#All],[Column1]])-W64, ""), ROW()-W64)), "")</f>
        <v/>
      </c>
      <c r="T74" t="str">
        <v/>
      </c>
      <c r="U74" t="str">
        <v/>
      </c>
      <c r="V74" t="str">
        <v/>
      </c>
    </row>
    <row r="75" spans="3:22">
      <c r="C75" s="332" t="s">
        <v>1894</v>
      </c>
      <c r="D75" s="316" t="s">
        <v>95</v>
      </c>
      <c r="E75" s="329" t="s">
        <v>94</v>
      </c>
      <c r="F75" s="315" t="s">
        <v>1894</v>
      </c>
      <c r="G75" s="315">
        <v>2.67</v>
      </c>
      <c r="H75" s="315"/>
      <c r="I75" s="315"/>
      <c r="J75" s="315"/>
      <c r="K75" s="342">
        <f>IFERROR(IF(Parameters!$D$19="5th Assessment", (G75*Data!$AJ$5)+(H75*Data!$AJ$6)+(I75*Data!$AJ$7), (G75*Data!$AI$5)+(H75*Data!$AI$6)+(I75*Data!$AI$7)), "")</f>
        <v>2.67</v>
      </c>
      <c r="L75" s="329" t="s">
        <v>96</v>
      </c>
      <c r="M75" s="316" t="s">
        <v>1237</v>
      </c>
      <c r="N75" s="333"/>
      <c r="P75" t="str">
        <v/>
      </c>
      <c r="Q75" t="str">
        <v/>
      </c>
      <c r="R75" t="str">
        <v/>
      </c>
      <c r="S75" t="str">
        <f t="array" ref="S75">IFERROR(INDEX(Custom_EF[[#All],[Column1]], SMALL(IF($S$64=Custom_EF[[#All],[Column3]], ROW(Custom_EF[[#All],[Column1]])-W64, ""), ROW()-W64)), "")</f>
        <v/>
      </c>
      <c r="T75" t="str">
        <v/>
      </c>
      <c r="U75" t="str">
        <v/>
      </c>
      <c r="V75" t="str">
        <v/>
      </c>
    </row>
    <row r="76" spans="3:22">
      <c r="C76" s="332" t="s">
        <v>1888</v>
      </c>
      <c r="D76" s="316" t="s">
        <v>98</v>
      </c>
      <c r="E76" s="329" t="s">
        <v>94</v>
      </c>
      <c r="F76" s="315" t="s">
        <v>1888</v>
      </c>
      <c r="G76" s="315">
        <v>2.67</v>
      </c>
      <c r="H76" s="315"/>
      <c r="I76" s="315"/>
      <c r="J76" s="315"/>
      <c r="K76" s="342">
        <f>IFERROR(IF(Parameters!$D$19="5th Assessment", (G76*Data!$AJ$5)+(H76*Data!$AJ$6)+(I76*Data!$AJ$7), (G76*Data!$AI$5)+(H76*Data!$AI$6)+(I76*Data!$AI$7)), "")</f>
        <v>2.67</v>
      </c>
      <c r="L76" s="329" t="s">
        <v>96</v>
      </c>
      <c r="M76" s="329" t="s">
        <v>1237</v>
      </c>
      <c r="N76" s="333"/>
      <c r="P76" t="str">
        <v/>
      </c>
      <c r="Q76" t="str">
        <v/>
      </c>
      <c r="R76" t="str">
        <v/>
      </c>
      <c r="S76" t="str">
        <f t="array" ref="S76">IFERROR(INDEX(Custom_EF[[#All],[Column1]], SMALL(IF($S$64=Custom_EF[[#All],[Column3]], ROW(Custom_EF[[#All],[Column1]])-W64, ""), ROW()-W64)), "")</f>
        <v/>
      </c>
      <c r="T76" t="str">
        <v/>
      </c>
      <c r="U76" t="str">
        <v/>
      </c>
      <c r="V76" t="str">
        <v/>
      </c>
    </row>
    <row r="77" spans="3:22">
      <c r="C77" s="332" t="s">
        <v>1895</v>
      </c>
      <c r="D77" s="316" t="s">
        <v>98</v>
      </c>
      <c r="E77" s="329" t="s">
        <v>94</v>
      </c>
      <c r="F77" s="315" t="s">
        <v>1895</v>
      </c>
      <c r="G77" s="315">
        <v>6.0000000000000001E-3</v>
      </c>
      <c r="H77" s="315"/>
      <c r="I77" s="315"/>
      <c r="J77" s="315"/>
      <c r="K77" s="342">
        <f>IFERROR(IF(Parameters!$D$19="5th Assessment", (G77*Data!$AJ$5)+(H77*Data!$AJ$6)+(I77*Data!$AJ$7), (G77*Data!$AI$5)+(H77*Data!$AI$6)+(I77*Data!$AI$7)), "")</f>
        <v>6.0000000000000001E-3</v>
      </c>
      <c r="L77" s="329" t="s">
        <v>96</v>
      </c>
      <c r="M77" s="329" t="s">
        <v>1897</v>
      </c>
      <c r="N77" s="333"/>
      <c r="P77" t="str">
        <v/>
      </c>
      <c r="Q77" t="str">
        <v/>
      </c>
      <c r="R77" t="str">
        <v/>
      </c>
      <c r="S77" t="str">
        <f t="array" ref="S77">IFERROR(INDEX(Custom_EF[[#All],[Column1]], SMALL(IF($S$64=Custom_EF[[#All],[Column3]], ROW(Custom_EF[[#All],[Column1]])-W64, ""), ROW()-W64)), "")</f>
        <v/>
      </c>
      <c r="T77" t="str">
        <v/>
      </c>
      <c r="U77" t="str">
        <v/>
      </c>
      <c r="V77" t="str">
        <v/>
      </c>
    </row>
    <row r="78" spans="3:22">
      <c r="C78" s="332"/>
      <c r="D78" s="316"/>
      <c r="E78" s="329"/>
      <c r="F78" s="315"/>
      <c r="G78" s="315"/>
      <c r="H78" s="315"/>
      <c r="I78" s="315"/>
      <c r="J78" s="315"/>
      <c r="K78" s="342">
        <f>IFERROR(IF(Parameters!$D$19="5th Assessment", (G78*Data!$AJ$5)+(H78*Data!$AJ$6)+(I78*Data!$AJ$7), (G78*Data!$AI$5)+(H78*Data!$AI$6)+(I78*Data!$AI$7)), "")</f>
        <v>0</v>
      </c>
      <c r="L78" s="316"/>
      <c r="M78" s="329"/>
      <c r="N78" s="333"/>
      <c r="P78" t="str">
        <v/>
      </c>
      <c r="Q78" t="str">
        <v/>
      </c>
      <c r="R78" t="str">
        <v/>
      </c>
      <c r="S78" t="str">
        <f t="array" ref="S78">IFERROR(INDEX(Custom_EF[[#All],[Column1]], SMALL(IF($S$64=Custom_EF[[#All],[Column3]], ROW(Custom_EF[[#All],[Column1]])-W64, ""), ROW()-W64)), "")</f>
        <v/>
      </c>
      <c r="T78" t="str">
        <v/>
      </c>
      <c r="U78" t="str">
        <v/>
      </c>
      <c r="V78" t="str">
        <v/>
      </c>
    </row>
    <row r="79" spans="3:22">
      <c r="C79" s="332"/>
      <c r="D79" s="316"/>
      <c r="E79" s="329"/>
      <c r="F79" s="315"/>
      <c r="G79" s="315"/>
      <c r="H79" s="315"/>
      <c r="I79" s="315"/>
      <c r="J79" s="315"/>
      <c r="K79" s="342">
        <f>IFERROR(IF(Parameters!$D$19="5th Assessment", (G79*Data!$AJ$5)+(H79*Data!$AJ$6)+(I79*Data!$AJ$7), (G79*Data!$AI$5)+(H79*Data!$AI$6)+(I79*Data!$AI$7)), "")</f>
        <v>0</v>
      </c>
      <c r="L79" s="316"/>
      <c r="M79" s="329"/>
      <c r="N79" s="333"/>
      <c r="P79" t="str">
        <v/>
      </c>
      <c r="Q79" t="str">
        <v/>
      </c>
      <c r="R79" t="str">
        <v/>
      </c>
      <c r="S79" t="str">
        <f t="array" ref="S79">IFERROR(INDEX(Custom_EF[[#All],[Column1]], SMALL(IF($S$64=Custom_EF[[#All],[Column3]], ROW(Custom_EF[[#All],[Column1]])-W64, ""), ROW()-W64)), "")</f>
        <v/>
      </c>
      <c r="T79" t="str">
        <v/>
      </c>
      <c r="U79" t="str">
        <v/>
      </c>
      <c r="V79" t="str">
        <v/>
      </c>
    </row>
    <row r="80" spans="3:22">
      <c r="C80" s="332"/>
      <c r="D80" s="316"/>
      <c r="E80" s="329"/>
      <c r="F80" s="315"/>
      <c r="G80" s="315"/>
      <c r="H80" s="315"/>
      <c r="I80" s="315"/>
      <c r="J80" s="315"/>
      <c r="K80" s="342">
        <f>IFERROR(IF(Parameters!$D$19="5th Assessment", (G80*Data!$AJ$5)+(H80*Data!$AJ$6)+(I80*Data!$AJ$7), (G80*Data!$AI$5)+(H80*Data!$AI$6)+(I80*Data!$AI$7)), "")</f>
        <v>0</v>
      </c>
      <c r="L80" s="316"/>
      <c r="M80" s="329"/>
      <c r="N80" s="333"/>
      <c r="P80" t="str">
        <v/>
      </c>
      <c r="Q80" t="str">
        <v/>
      </c>
      <c r="R80" t="str">
        <v/>
      </c>
      <c r="S80" t="str">
        <f t="array" ref="S80">IFERROR(INDEX(Custom_EF[[#All],[Column1]], SMALL(IF($S$64=Custom_EF[[#All],[Column3]], ROW(Custom_EF[[#All],[Column1]])-W64, ""), ROW()-W64)), "")</f>
        <v/>
      </c>
      <c r="T80" t="str">
        <v/>
      </c>
      <c r="U80" t="str">
        <v/>
      </c>
      <c r="V80" t="str">
        <v/>
      </c>
    </row>
    <row r="81" spans="3:22">
      <c r="C81" s="332"/>
      <c r="D81" s="316"/>
      <c r="E81" s="329"/>
      <c r="F81" s="315"/>
      <c r="G81" s="315"/>
      <c r="H81" s="315"/>
      <c r="I81" s="315"/>
      <c r="J81" s="315"/>
      <c r="K81" s="342">
        <f>IFERROR(IF(Parameters!$D$19="5th Assessment", (G81*Data!$AJ$5)+(H81*Data!$AJ$6)+(I81*Data!$AJ$7), (G81*Data!$AI$5)+(H81*Data!$AI$6)+(I81*Data!$AI$7)), "")</f>
        <v>0</v>
      </c>
      <c r="L81" s="316"/>
      <c r="M81" s="329"/>
      <c r="N81" s="333"/>
      <c r="P81" t="str">
        <v/>
      </c>
      <c r="Q81" t="str">
        <v/>
      </c>
      <c r="R81" t="str">
        <v/>
      </c>
      <c r="S81" t="str">
        <f t="array" ref="S81">IFERROR(INDEX(Custom_EF[[#All],[Column1]], SMALL(IF($S$64=Custom_EF[[#All],[Column3]], ROW(Custom_EF[[#All],[Column1]])-W64, ""), ROW()-W64)), "")</f>
        <v/>
      </c>
      <c r="T81" t="str">
        <v/>
      </c>
      <c r="U81" t="str">
        <v/>
      </c>
      <c r="V81" t="str">
        <v/>
      </c>
    </row>
    <row r="82" spans="3:22">
      <c r="C82" s="332"/>
      <c r="D82" s="316"/>
      <c r="E82" s="329"/>
      <c r="F82" s="315"/>
      <c r="G82" s="315"/>
      <c r="H82" s="315"/>
      <c r="I82" s="315"/>
      <c r="J82" s="315"/>
      <c r="K82" s="342">
        <f>IFERROR(IF(Parameters!$D$19="5th Assessment", (G82*Data!$AJ$5)+(H82*Data!$AJ$6)+(I82*Data!$AJ$7), (G82*Data!$AI$5)+(H82*Data!$AI$6)+(I82*Data!$AI$7)), "")</f>
        <v>0</v>
      </c>
      <c r="L82" s="316"/>
      <c r="M82" s="329"/>
      <c r="N82" s="333"/>
      <c r="P82" t="str">
        <v/>
      </c>
      <c r="Q82" t="str">
        <v/>
      </c>
      <c r="R82" t="str">
        <v/>
      </c>
      <c r="S82" t="str">
        <f t="array" ref="S82">IFERROR(INDEX(Custom_EF[[#All],[Column1]], SMALL(IF($S$64=Custom_EF[[#All],[Column3]], ROW(Custom_EF[[#All],[Column1]])-W64, ""), ROW()-W64)), "")</f>
        <v/>
      </c>
      <c r="T82" t="str">
        <v/>
      </c>
      <c r="U82" t="str">
        <v/>
      </c>
      <c r="V82" t="str">
        <v/>
      </c>
    </row>
    <row r="83" spans="3:22">
      <c r="C83" s="332"/>
      <c r="D83" s="316"/>
      <c r="E83" s="329"/>
      <c r="F83" s="315"/>
      <c r="G83" s="315"/>
      <c r="H83" s="315"/>
      <c r="I83" s="315"/>
      <c r="J83" s="315"/>
      <c r="K83" s="342">
        <f>IFERROR(IF(Parameters!$D$19="5th Assessment", (G83*Data!$AJ$5)+(H83*Data!$AJ$6)+(I83*Data!$AJ$7), (G83*Data!$AI$5)+(H83*Data!$AI$6)+(I83*Data!$AI$7)), "")</f>
        <v>0</v>
      </c>
      <c r="L83" s="316"/>
      <c r="M83" s="329"/>
      <c r="N83" s="333"/>
      <c r="P83" t="str">
        <v/>
      </c>
      <c r="Q83" t="str">
        <v/>
      </c>
      <c r="R83" t="str">
        <v/>
      </c>
      <c r="S83" t="str">
        <f t="array" ref="S83">IFERROR(INDEX(Custom_EF[[#All],[Column1]], SMALL(IF($S$64=Custom_EF[[#All],[Column3]], ROW(Custom_EF[[#All],[Column1]])-W64, ""), ROW()-W64)), "")</f>
        <v/>
      </c>
      <c r="T83" t="str">
        <v/>
      </c>
      <c r="U83" t="str">
        <v/>
      </c>
      <c r="V83" t="str">
        <v/>
      </c>
    </row>
    <row r="84" spans="3:22">
      <c r="C84" s="332"/>
      <c r="D84" s="316"/>
      <c r="E84" s="329"/>
      <c r="F84" s="315"/>
      <c r="G84" s="315"/>
      <c r="H84" s="315"/>
      <c r="I84" s="315"/>
      <c r="J84" s="315"/>
      <c r="K84" s="342">
        <f>IFERROR(IF(Parameters!$D$19="5th Assessment", (G84*Data!$AJ$5)+(H84*Data!$AJ$6)+(I84*Data!$AJ$7), (G84*Data!$AI$5)+(H84*Data!$AI$6)+(I84*Data!$AI$7)), "")</f>
        <v>0</v>
      </c>
      <c r="L84" s="316"/>
      <c r="M84" s="329"/>
      <c r="N84" s="333"/>
      <c r="P84" t="str">
        <v/>
      </c>
      <c r="Q84" t="str">
        <v/>
      </c>
      <c r="R84" t="str">
        <v/>
      </c>
      <c r="S84" t="str">
        <f t="array" ref="S84">IFERROR(INDEX(Custom_EF[[#All],[Column1]], SMALL(IF($S$64=Custom_EF[[#All],[Column3]], ROW(Custom_EF[[#All],[Column1]])-W64, ""), ROW()-W64)), "")</f>
        <v/>
      </c>
      <c r="T84" t="str">
        <v/>
      </c>
      <c r="U84" t="str">
        <v/>
      </c>
      <c r="V84" t="str">
        <v/>
      </c>
    </row>
    <row r="85" spans="3:22">
      <c r="C85" s="332"/>
      <c r="D85" s="316"/>
      <c r="E85" s="329"/>
      <c r="F85" s="315"/>
      <c r="G85" s="315"/>
      <c r="H85" s="315"/>
      <c r="I85" s="315"/>
      <c r="J85" s="315"/>
      <c r="K85" s="342">
        <f>IFERROR(IF(Parameters!$D$19="5th Assessment", (G85*Data!$AJ$5)+(H85*Data!$AJ$6)+(I85*Data!$AJ$7), (G85*Data!$AI$5)+(H85*Data!$AI$6)+(I85*Data!$AI$7)), "")</f>
        <v>0</v>
      </c>
      <c r="L85" s="316"/>
      <c r="M85" s="329"/>
      <c r="N85" s="333"/>
      <c r="P85" t="str">
        <v/>
      </c>
      <c r="Q85" t="str">
        <v/>
      </c>
      <c r="R85" t="str">
        <v/>
      </c>
      <c r="S85" t="str">
        <f t="array" ref="S85">IFERROR(INDEX(Custom_EF[[#All],[Column1]], SMALL(IF($S$64=Custom_EF[[#All],[Column3]], ROW(Custom_EF[[#All],[Column1]])-W64, ""), ROW()-W64)), "")</f>
        <v/>
      </c>
      <c r="T85" t="str">
        <v/>
      </c>
      <c r="U85" t="str">
        <v/>
      </c>
      <c r="V85" t="str">
        <v/>
      </c>
    </row>
    <row r="86" spans="3:22">
      <c r="C86" s="332"/>
      <c r="D86" s="316"/>
      <c r="E86" s="329"/>
      <c r="F86" s="315"/>
      <c r="G86" s="315"/>
      <c r="H86" s="315"/>
      <c r="I86" s="315"/>
      <c r="J86" s="315"/>
      <c r="K86" s="342">
        <f>IFERROR(IF(Parameters!$D$19="5th Assessment", (G86*Data!$AJ$5)+(H86*Data!$AJ$6)+(I86*Data!$AJ$7), (G86*Data!$AI$5)+(H86*Data!$AI$6)+(I86*Data!$AI$7)), "")</f>
        <v>0</v>
      </c>
      <c r="L86" s="316"/>
      <c r="M86" s="329"/>
      <c r="N86" s="333"/>
      <c r="P86" t="str">
        <v/>
      </c>
      <c r="Q86" t="str">
        <v/>
      </c>
      <c r="R86" t="str">
        <v/>
      </c>
      <c r="S86" t="str">
        <f t="array" ref="S86">IFERROR(INDEX(Custom_EF[[#All],[Column1]], SMALL(IF($S$64=Custom_EF[[#All],[Column3]], ROW(Custom_EF[[#All],[Column1]])-W64, ""), ROW()-W64)), "")</f>
        <v/>
      </c>
      <c r="T86" t="str">
        <v/>
      </c>
      <c r="U86" t="str">
        <v/>
      </c>
      <c r="V86" t="str">
        <v/>
      </c>
    </row>
    <row r="87" spans="3:22">
      <c r="C87" s="332"/>
      <c r="D87" s="316"/>
      <c r="E87" s="329"/>
      <c r="F87" s="315"/>
      <c r="G87" s="315"/>
      <c r="H87" s="315"/>
      <c r="I87" s="315"/>
      <c r="J87" s="315"/>
      <c r="K87" s="342">
        <f>IFERROR(IF(Parameters!$D$19="5th Assessment", (G87*Data!$AJ$5)+(H87*Data!$AJ$6)+(I87*Data!$AJ$7), (G87*Data!$AI$5)+(H87*Data!$AI$6)+(I87*Data!$AI$7)), "")</f>
        <v>0</v>
      </c>
      <c r="L87" s="316"/>
      <c r="M87" s="329"/>
      <c r="N87" s="333"/>
      <c r="P87" t="str">
        <v/>
      </c>
      <c r="Q87" t="str">
        <v/>
      </c>
      <c r="R87" t="str">
        <v/>
      </c>
      <c r="S87" t="str">
        <f t="array" ref="S87">IFERROR(INDEX(Custom_EF[[#All],[Column1]], SMALL(IF($S$64=Custom_EF[[#All],[Column3]], ROW(Custom_EF[[#All],[Column1]])-W64, ""), ROW()-W64)), "")</f>
        <v/>
      </c>
      <c r="T87" t="str">
        <v/>
      </c>
      <c r="U87" t="str">
        <v/>
      </c>
      <c r="V87" t="str">
        <v/>
      </c>
    </row>
    <row r="88" spans="3:22">
      <c r="C88" s="332"/>
      <c r="D88" s="316"/>
      <c r="E88" s="329"/>
      <c r="F88" s="315"/>
      <c r="G88" s="315"/>
      <c r="H88" s="315"/>
      <c r="I88" s="315"/>
      <c r="J88" s="315"/>
      <c r="K88" s="342">
        <f>IFERROR(IF(Parameters!$D$19="5th Assessment", (G88*Data!$AJ$5)+(H88*Data!$AJ$6)+(I88*Data!$AJ$7), (G88*Data!$AI$5)+(H88*Data!$AI$6)+(I88*Data!$AI$7)), "")</f>
        <v>0</v>
      </c>
      <c r="L88" s="316"/>
      <c r="M88" s="329"/>
      <c r="N88" s="333"/>
      <c r="P88" t="str">
        <v/>
      </c>
      <c r="Q88" t="str">
        <v/>
      </c>
      <c r="R88" t="str">
        <v/>
      </c>
      <c r="S88" t="str">
        <f t="array" ref="S88">IFERROR(INDEX(Custom_EF[[#All],[Column1]], SMALL(IF($S$64=Custom_EF[[#All],[Column3]], ROW(Custom_EF[[#All],[Column1]])-W64, ""), ROW()-W64)), "")</f>
        <v/>
      </c>
      <c r="T88" t="str">
        <v/>
      </c>
      <c r="U88" t="str">
        <v/>
      </c>
      <c r="V88" t="str">
        <v/>
      </c>
    </row>
    <row r="89" spans="3:22">
      <c r="C89" s="332"/>
      <c r="D89" s="316"/>
      <c r="E89" s="329"/>
      <c r="F89" s="315"/>
      <c r="G89" s="315"/>
      <c r="H89" s="315"/>
      <c r="I89" s="315"/>
      <c r="J89" s="315"/>
      <c r="K89" s="342">
        <f>IFERROR(IF(Parameters!$D$19="5th Assessment", (G89*Data!$AJ$5)+(H89*Data!$AJ$6)+(I89*Data!$AJ$7), (G89*Data!$AI$5)+(H89*Data!$AI$6)+(I89*Data!$AI$7)), "")</f>
        <v>0</v>
      </c>
      <c r="L89" s="316"/>
      <c r="M89" s="329"/>
      <c r="N89" s="333"/>
      <c r="P89" t="str">
        <v/>
      </c>
      <c r="Q89" t="str">
        <v/>
      </c>
      <c r="R89" t="str">
        <v/>
      </c>
      <c r="S89" t="str">
        <f t="array" ref="S89">IFERROR(INDEX(Custom_EF[[#All],[Column1]], SMALL(IF($S$64=Custom_EF[[#All],[Column3]], ROW(Custom_EF[[#All],[Column1]])-W64, ""), ROW()-W64)), "")</f>
        <v/>
      </c>
      <c r="T89" t="str">
        <v/>
      </c>
      <c r="U89" t="str">
        <v/>
      </c>
      <c r="V89" t="str">
        <v/>
      </c>
    </row>
    <row r="90" spans="3:22">
      <c r="C90" s="332"/>
      <c r="D90" s="316"/>
      <c r="E90" s="329"/>
      <c r="F90" s="315"/>
      <c r="G90" s="315"/>
      <c r="H90" s="315"/>
      <c r="I90" s="315"/>
      <c r="J90" s="315"/>
      <c r="K90" s="342">
        <f>IFERROR(IF(Parameters!$D$19="5th Assessment", (G90*Data!$AJ$5)+(H90*Data!$AJ$6)+(I90*Data!$AJ$7), (G90*Data!$AI$5)+(H90*Data!$AI$6)+(I90*Data!$AI$7)), "")</f>
        <v>0</v>
      </c>
      <c r="L90" s="316"/>
      <c r="M90" s="329"/>
      <c r="N90" s="333"/>
      <c r="P90" t="str">
        <v/>
      </c>
      <c r="Q90" t="str">
        <v/>
      </c>
      <c r="R90" t="str">
        <v/>
      </c>
      <c r="S90" t="str">
        <f t="array" ref="S90">IFERROR(INDEX(Custom_EF[[#All],[Column1]], SMALL(IF($S$64=Custom_EF[[#All],[Column3]], ROW(Custom_EF[[#All],[Column1]])-W64, ""), ROW()-W64)), "")</f>
        <v/>
      </c>
      <c r="T90" t="str">
        <v/>
      </c>
      <c r="U90" t="str">
        <v/>
      </c>
      <c r="V90" t="str">
        <v/>
      </c>
    </row>
    <row r="91" spans="3:22">
      <c r="C91" s="332"/>
      <c r="D91" s="316"/>
      <c r="E91" s="329"/>
      <c r="F91" s="315"/>
      <c r="G91" s="315"/>
      <c r="H91" s="315"/>
      <c r="I91" s="315"/>
      <c r="J91" s="315"/>
      <c r="K91" s="342">
        <f>IFERROR(IF(Parameters!$D$19="5th Assessment", (G91*Data!$AJ$5)+(H91*Data!$AJ$6)+(I91*Data!$AJ$7), (G91*Data!$AI$5)+(H91*Data!$AI$6)+(I91*Data!$AI$7)), "")</f>
        <v>0</v>
      </c>
      <c r="L91" s="316"/>
      <c r="M91" s="329"/>
      <c r="N91" s="333"/>
      <c r="P91" t="str">
        <v/>
      </c>
      <c r="Q91" t="str">
        <v/>
      </c>
      <c r="R91" t="str">
        <v/>
      </c>
      <c r="S91" t="str">
        <f t="array" ref="S91">IFERROR(INDEX(Custom_EF[[#All],[Column1]], SMALL(IF($S$64=Custom_EF[[#All],[Column3]], ROW(Custom_EF[[#All],[Column1]])-W64, ""), ROW()-W64)), "")</f>
        <v/>
      </c>
      <c r="T91" t="str">
        <v/>
      </c>
      <c r="U91" t="str">
        <v/>
      </c>
      <c r="V91" t="str">
        <v/>
      </c>
    </row>
    <row r="92" spans="3:22">
      <c r="C92" s="332"/>
      <c r="D92" s="316"/>
      <c r="E92" s="329"/>
      <c r="F92" s="315"/>
      <c r="G92" s="315"/>
      <c r="H92" s="315"/>
      <c r="I92" s="315"/>
      <c r="J92" s="315"/>
      <c r="K92" s="342">
        <f>IFERROR(IF(Parameters!$D$19="5th Assessment", (G92*Data!$AJ$5)+(H92*Data!$AJ$6)+(I92*Data!$AJ$7), (G92*Data!$AI$5)+(H92*Data!$AI$6)+(I92*Data!$AI$7)), "")</f>
        <v>0</v>
      </c>
      <c r="L92" s="316"/>
      <c r="M92" s="329"/>
      <c r="N92" s="333"/>
      <c r="P92" t="str">
        <v/>
      </c>
      <c r="Q92" t="str">
        <v/>
      </c>
      <c r="R92" t="str">
        <v/>
      </c>
      <c r="S92" t="str">
        <f t="array" ref="S92">IFERROR(INDEX(Custom_EF[[#All],[Column1]], SMALL(IF($S$64=Custom_EF[[#All],[Column3]], ROW(Custom_EF[[#All],[Column1]])-W64, ""), ROW()-W64)), "")</f>
        <v/>
      </c>
      <c r="T92" t="str">
        <v/>
      </c>
      <c r="U92" t="str">
        <v/>
      </c>
      <c r="V92" t="str">
        <v/>
      </c>
    </row>
    <row r="93" spans="3:22">
      <c r="C93" s="332"/>
      <c r="D93" s="316"/>
      <c r="E93" s="329"/>
      <c r="F93" s="315"/>
      <c r="G93" s="315"/>
      <c r="H93" s="315"/>
      <c r="I93" s="315"/>
      <c r="J93" s="315"/>
      <c r="K93" s="342">
        <f>IFERROR(IF(Parameters!$D$19="5th Assessment", (G93*Data!$AJ$5)+(H93*Data!$AJ$6)+(I93*Data!$AJ$7), (G93*Data!$AI$5)+(H93*Data!$AI$6)+(I93*Data!$AI$7)), "")</f>
        <v>0</v>
      </c>
      <c r="L93" s="316"/>
      <c r="M93" s="329"/>
      <c r="N93" s="333"/>
      <c r="P93" t="str">
        <v/>
      </c>
      <c r="Q93" t="str">
        <v/>
      </c>
      <c r="R93" t="str">
        <v/>
      </c>
      <c r="S93" t="str">
        <f t="array" ref="S93">IFERROR(INDEX(Custom_EF[[#All],[Column1]], SMALL(IF($S$64=Custom_EF[[#All],[Column3]], ROW(Custom_EF[[#All],[Column1]])-W64, ""), ROW()-W64)), "")</f>
        <v/>
      </c>
      <c r="T93" t="str">
        <v/>
      </c>
      <c r="U93" t="str">
        <v/>
      </c>
      <c r="V93" t="str">
        <v/>
      </c>
    </row>
    <row r="94" spans="3:22">
      <c r="C94" s="334"/>
      <c r="D94" s="335"/>
      <c r="E94" s="329"/>
      <c r="F94" s="336"/>
      <c r="G94" s="336"/>
      <c r="H94" s="336"/>
      <c r="I94" s="336"/>
      <c r="J94" s="336"/>
      <c r="K94" s="343">
        <f>IFERROR(IF(Parameters!$D$19="5th Assessment", (G94*Data!$AJ$5)+(H94*Data!$AJ$6)+(I94*Data!$AJ$7), (G94*Data!$AI$5)+(H94*Data!$AI$6)+(I94*Data!$AI$7)), "")</f>
        <v>0</v>
      </c>
      <c r="L94" s="329"/>
      <c r="M94" s="329"/>
      <c r="N94" s="337"/>
      <c r="P94" t="str">
        <v/>
      </c>
      <c r="Q94" t="str">
        <v/>
      </c>
      <c r="R94" t="str">
        <v/>
      </c>
      <c r="S94" t="str">
        <f t="array" ref="S94">IFERROR(INDEX(Custom_EF[[#All],[Column1]], SMALL(IF($S$64=Custom_EF[[#All],[Column3]], ROW(Custom_EF[[#All],[Column1]])-W64, ""), ROW()-W64)), "")</f>
        <v/>
      </c>
      <c r="T94" t="str">
        <v/>
      </c>
      <c r="U94" t="str">
        <v/>
      </c>
      <c r="V94" t="str">
        <v/>
      </c>
    </row>
    <row r="95" spans="3:22">
      <c r="K95" s="207"/>
    </row>
    <row r="96" spans="3:22" ht="14.65" customHeight="1"/>
  </sheetData>
  <mergeCells count="22">
    <mergeCell ref="E22:P22"/>
    <mergeCell ref="E23:P23"/>
    <mergeCell ref="C61:N62"/>
    <mergeCell ref="G63:M63"/>
    <mergeCell ref="I46:L47"/>
    <mergeCell ref="F35:G35"/>
    <mergeCell ref="F36:G36"/>
    <mergeCell ref="F30:G30"/>
    <mergeCell ref="F31:G31"/>
    <mergeCell ref="F32:G32"/>
    <mergeCell ref="F33:G33"/>
    <mergeCell ref="I42:L43"/>
    <mergeCell ref="F34:G34"/>
    <mergeCell ref="N63:N64"/>
    <mergeCell ref="C63:C64"/>
    <mergeCell ref="E63:E64"/>
    <mergeCell ref="F63:F64"/>
    <mergeCell ref="D63:D64"/>
    <mergeCell ref="I49:L50"/>
    <mergeCell ref="E24:P24"/>
    <mergeCell ref="C58:L59"/>
    <mergeCell ref="I52:L53"/>
  </mergeCells>
  <phoneticPr fontId="35" type="noConversion"/>
  <hyperlinks>
    <hyperlink ref="E20" r:id="rId1" xr:uid="{EEF042ED-A9BD-4AE7-AFF7-28F9B5CD9E5A}"/>
    <hyperlink ref="I45" r:id="rId2" xr:uid="{F60A8045-A9FF-4BB6-B02F-090FE544A399}"/>
  </hyperlinks>
  <pageMargins left="0.7" right="0.7" top="0.75" bottom="0.75" header="0.3" footer="0.3"/>
  <drawing r:id="rId3"/>
  <tableParts count="2">
    <tablePart r:id="rId4"/>
    <tablePart r:id="rId5"/>
  </tableParts>
  <extLst>
    <ext xmlns:x14="http://schemas.microsoft.com/office/spreadsheetml/2009/9/main" uri="{CCE6A557-97BC-4b89-ADB6-D9C93CAAB3DF}">
      <x14:dataValidations xmlns:xm="http://schemas.microsoft.com/office/excel/2006/main" count="8">
        <x14:dataValidation type="list" allowBlank="1" showInputMessage="1" showErrorMessage="1" xr:uid="{EE74AB7F-0802-494E-ACDB-02AD71B8229D}">
          <x14:formula1>
            <xm:f>Dropdowns!$A$2:$A$4</xm:f>
          </x14:formula1>
          <xm:sqref>G19</xm:sqref>
        </x14:dataValidation>
        <x14:dataValidation type="list" allowBlank="1" showInputMessage="1" xr:uid="{CAA863B8-9BE0-4563-8B3F-E7ED8F8F967B}">
          <x14:formula1>
            <xm:f>Dropdowns!$A$2:$A$3</xm:f>
          </x14:formula1>
          <xm:sqref>D19</xm:sqref>
        </x14:dataValidation>
        <x14:dataValidation type="list" allowBlank="1" showInputMessage="1" showErrorMessage="1" xr:uid="{E529624B-172B-4A59-8EC3-ED4F94C81622}">
          <x14:formula1>
            <xm:f>Dropdowns!$F$2:$F$3</xm:f>
          </x14:formula1>
          <xm:sqref>D22</xm:sqref>
        </x14:dataValidation>
        <x14:dataValidation type="list" allowBlank="1" showInputMessage="1" showErrorMessage="1" xr:uid="{392B8AE8-E46A-4CA6-AB94-949657EAA2B8}">
          <x14:formula1>
            <xm:f>Dropdowns!$C$2:$C$4</xm:f>
          </x14:formula1>
          <xm:sqref>D65:D94</xm:sqref>
        </x14:dataValidation>
        <x14:dataValidation type="list" allowBlank="1" showInputMessage="1" showErrorMessage="1" xr:uid="{89DC09F8-F1EE-4ABF-9EE2-6CB7F51CE1BA}">
          <x14:formula1>
            <xm:f>Dropdowns!$Y$2:$Y$4</xm:f>
          </x14:formula1>
          <xm:sqref>L65:L94</xm:sqref>
        </x14:dataValidation>
        <x14:dataValidation type="list" allowBlank="1" showInputMessage="1" showErrorMessage="1" xr:uid="{372196D6-7052-4E4A-8DFC-CE32A798AB86}">
          <x14:formula1>
            <xm:f>IF(OR($E43="US", $E43="USA", $E43="United States"), Dropdowns!$AB$2:$AB$28, IF($E43="Australia", Dropdowns!$AB$30:$AB$36, IF($E43="Canada", Dropdowns!$AB$38:$AB$49, IF($E43="China", Dropdowns!$AB$51:$AB$57, Dropdowns!$AB$59:$AB$89))))</xm:f>
          </x14:formula1>
          <xm:sqref>G43:G52</xm:sqref>
        </x14:dataValidation>
        <x14:dataValidation type="list" allowBlank="1" showInputMessage="1" showErrorMessage="1" xr:uid="{502825D4-D56A-41C2-BB2E-9B88FAAAB7EC}">
          <x14:formula1>
            <xm:f>IF($D65="Scope 1", Dropdowns!$G$2:$G$4, IF($D65="Scope 2", Dropdowns!$G$5:$G$7, IF($D65="Scope 3", Dropdowns!$G$8)))</xm:f>
          </x14:formula1>
          <xm:sqref>E65:E94</xm:sqref>
        </x14:dataValidation>
        <x14:dataValidation type="list" allowBlank="1" showInputMessage="1" showErrorMessage="1" xr:uid="{442DA82F-3072-48EE-A728-1C618767C330}">
          <x14:formula1>
            <xm:f>IF($E65=Dropdowns!$G$2, Dropdowns!$V$2:$V$8, IF($E65=Dropdowns!$G$3, Dropdowns!$N$2:$N$7, IF(OR($E65=Dropdowns!$G$5, $E65=Dropdowns!$G$6, $E65=Dropdowns!$G$7), Dropdowns!$V$2:$V$8, IF($E65=Dropdowns!$G$8, Dropdowns!$W$2:$W$8))))</xm:f>
          </x14:formula1>
          <xm:sqref>M65:M69 M76:M94 M71:M74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56575-7701-4A08-8859-61AD6C1168E0}">
  <sheetPr codeName="Sheet12">
    <tabColor rgb="FF00B050"/>
  </sheetPr>
  <dimension ref="A1:AJ1208"/>
  <sheetViews>
    <sheetView showGridLines="0" showRowColHeaders="0" topLeftCell="F265" zoomScale="90" zoomScaleNormal="90" workbookViewId="0">
      <selection activeCell="K432" sqref="K432:K453"/>
    </sheetView>
  </sheetViews>
  <sheetFormatPr baseColWidth="10" defaultColWidth="8.7109375" defaultRowHeight="15"/>
  <cols>
    <col min="1" max="1" width="16.140625" customWidth="1"/>
    <col min="2" max="2" width="68" customWidth="1"/>
    <col min="3" max="3" width="35.7109375" customWidth="1"/>
    <col min="4" max="4" width="24.85546875" customWidth="1"/>
    <col min="5" max="5" width="31.7109375" customWidth="1"/>
    <col min="6" max="6" width="24.7109375" customWidth="1"/>
    <col min="7" max="7" width="36.85546875" customWidth="1"/>
    <col min="8" max="8" width="18.7109375" customWidth="1"/>
    <col min="9" max="9" width="16.28515625" customWidth="1"/>
    <col min="10" max="10" width="31.140625" customWidth="1"/>
    <col min="11" max="11" width="136" customWidth="1"/>
    <col min="12" max="12" width="21.7109375" customWidth="1"/>
    <col min="13" max="13" width="23.28515625" customWidth="1"/>
    <col min="14" max="14" width="18.5703125" customWidth="1"/>
    <col min="15" max="15" width="12.28515625" customWidth="1"/>
    <col min="18" max="18" width="11.28515625" customWidth="1"/>
  </cols>
  <sheetData>
    <row r="1" spans="2:11" s="364" customFormat="1"/>
    <row r="2" spans="2:11" s="364" customFormat="1"/>
    <row r="3" spans="2:11" s="364" customFormat="1"/>
    <row r="4" spans="2:11" s="364" customFormat="1"/>
    <row r="5" spans="2:11" s="364" customFormat="1"/>
    <row r="6" spans="2:11" s="364" customFormat="1"/>
    <row r="7" spans="2:11" s="364" customFormat="1"/>
    <row r="8" spans="2:11" s="435" customFormat="1" ht="23.25">
      <c r="B8" s="435" t="s">
        <v>88</v>
      </c>
    </row>
    <row r="9" spans="2:11">
      <c r="H9" s="217">
        <v>7</v>
      </c>
      <c r="I9" s="217">
        <v>8</v>
      </c>
      <c r="J9" s="217">
        <v>9</v>
      </c>
    </row>
    <row r="10" spans="2:11" s="356" customFormat="1" ht="37.5">
      <c r="B10" s="357" t="s">
        <v>103</v>
      </c>
      <c r="C10" s="357" t="s">
        <v>104</v>
      </c>
      <c r="D10" s="357" t="s">
        <v>105</v>
      </c>
      <c r="E10" s="357" t="s">
        <v>106</v>
      </c>
      <c r="F10" s="357" t="s">
        <v>107</v>
      </c>
      <c r="G10" s="357" t="s">
        <v>108</v>
      </c>
      <c r="H10" s="357" t="s">
        <v>109</v>
      </c>
      <c r="I10" s="357" t="s">
        <v>110</v>
      </c>
      <c r="J10" s="357" t="s">
        <v>111</v>
      </c>
      <c r="K10" s="357" t="s">
        <v>112</v>
      </c>
    </row>
    <row r="11" spans="2:11" ht="18.75">
      <c r="B11" s="457" t="s">
        <v>113</v>
      </c>
      <c r="C11" s="457" t="s">
        <v>114</v>
      </c>
      <c r="D11" s="362"/>
      <c r="E11" s="362"/>
      <c r="F11" s="362"/>
      <c r="G11" s="362"/>
      <c r="H11" s="362"/>
      <c r="I11" s="362"/>
      <c r="J11" s="362"/>
      <c r="K11" s="359"/>
    </row>
    <row r="12" spans="2:11" ht="15.75">
      <c r="B12" s="458" t="s">
        <v>115</v>
      </c>
      <c r="C12" s="458">
        <v>25.09</v>
      </c>
      <c r="D12" s="458">
        <v>103.69</v>
      </c>
      <c r="E12" s="458">
        <v>11</v>
      </c>
      <c r="F12" s="458">
        <v>1.6</v>
      </c>
      <c r="G12" s="459"/>
      <c r="H12" s="458">
        <v>104.4418</v>
      </c>
      <c r="I12" s="458">
        <v>104.42200000000001</v>
      </c>
      <c r="J12" s="458" t="s">
        <v>97</v>
      </c>
      <c r="K12" t="s">
        <v>116</v>
      </c>
    </row>
    <row r="13" spans="2:11" ht="15.75">
      <c r="B13" s="458" t="s">
        <v>117</v>
      </c>
      <c r="C13" s="458">
        <v>24.93</v>
      </c>
      <c r="D13" s="458">
        <v>93.28</v>
      </c>
      <c r="E13" s="458">
        <v>11</v>
      </c>
      <c r="F13" s="458">
        <v>1.6</v>
      </c>
      <c r="G13" s="459"/>
      <c r="H13" s="458">
        <v>94.031800000000004</v>
      </c>
      <c r="I13" s="458">
        <v>94.012000000000015</v>
      </c>
      <c r="J13" s="458" t="s">
        <v>97</v>
      </c>
      <c r="K13" t="s">
        <v>116</v>
      </c>
    </row>
    <row r="14" spans="2:11" ht="15.75">
      <c r="B14" s="458" t="s">
        <v>118</v>
      </c>
      <c r="C14" s="458">
        <v>17.25</v>
      </c>
      <c r="D14" s="458">
        <v>97.17</v>
      </c>
      <c r="E14" s="458">
        <v>11</v>
      </c>
      <c r="F14" s="458">
        <v>1.6</v>
      </c>
      <c r="G14" s="459"/>
      <c r="H14" s="458">
        <v>97.921800000000005</v>
      </c>
      <c r="I14" s="458">
        <v>97.902000000000015</v>
      </c>
      <c r="J14" s="458" t="s">
        <v>97</v>
      </c>
      <c r="K14" t="s">
        <v>116</v>
      </c>
    </row>
    <row r="15" spans="2:11" ht="15.75">
      <c r="B15" s="458" t="s">
        <v>119</v>
      </c>
      <c r="C15" s="458">
        <v>14.21</v>
      </c>
      <c r="D15" s="458">
        <v>97.72</v>
      </c>
      <c r="E15" s="458">
        <v>11</v>
      </c>
      <c r="F15" s="458">
        <v>1.6</v>
      </c>
      <c r="G15" s="459"/>
      <c r="H15" s="458">
        <v>98.471800000000002</v>
      </c>
      <c r="I15" s="458">
        <v>98.452000000000012</v>
      </c>
      <c r="J15" s="458" t="s">
        <v>97</v>
      </c>
      <c r="K15" t="s">
        <v>116</v>
      </c>
    </row>
    <row r="16" spans="2:11" ht="15.75">
      <c r="B16" s="458" t="s">
        <v>120</v>
      </c>
      <c r="C16" s="458">
        <v>21.39</v>
      </c>
      <c r="D16" s="458">
        <v>94.27</v>
      </c>
      <c r="E16" s="458">
        <v>11</v>
      </c>
      <c r="F16" s="458">
        <v>1.6</v>
      </c>
      <c r="G16" s="459"/>
      <c r="H16" s="458">
        <v>95.021799999999999</v>
      </c>
      <c r="I16" s="458">
        <v>95.00200000000001</v>
      </c>
      <c r="J16" s="458" t="s">
        <v>97</v>
      </c>
      <c r="K16" t="s">
        <v>116</v>
      </c>
    </row>
    <row r="17" spans="2:11" ht="15.75">
      <c r="B17" s="458" t="s">
        <v>121</v>
      </c>
      <c r="C17" s="458">
        <v>19.73</v>
      </c>
      <c r="D17" s="458">
        <v>95.52</v>
      </c>
      <c r="E17" s="458">
        <v>11</v>
      </c>
      <c r="F17" s="458">
        <v>1.6</v>
      </c>
      <c r="G17" s="459"/>
      <c r="H17" s="458">
        <v>96.271799999999999</v>
      </c>
      <c r="I17" s="458">
        <v>96.25200000000001</v>
      </c>
      <c r="J17" s="458" t="s">
        <v>97</v>
      </c>
      <c r="K17" t="s">
        <v>116</v>
      </c>
    </row>
    <row r="18" spans="2:11" ht="15.75">
      <c r="B18" s="458" t="s">
        <v>122</v>
      </c>
      <c r="C18" s="458">
        <v>26.28</v>
      </c>
      <c r="D18" s="458">
        <v>93.9</v>
      </c>
      <c r="E18" s="458">
        <v>11</v>
      </c>
      <c r="F18" s="458">
        <v>1.6</v>
      </c>
      <c r="G18" s="459"/>
      <c r="H18" s="458">
        <v>94.651800000000009</v>
      </c>
      <c r="I18" s="458">
        <v>94.632000000000019</v>
      </c>
      <c r="J18" s="458" t="s">
        <v>97</v>
      </c>
      <c r="K18" t="s">
        <v>116</v>
      </c>
    </row>
    <row r="19" spans="2:11" ht="15.75">
      <c r="B19" s="458" t="s">
        <v>123</v>
      </c>
      <c r="C19" s="458">
        <v>22.35</v>
      </c>
      <c r="D19" s="458">
        <v>94.67</v>
      </c>
      <c r="E19" s="458">
        <v>11</v>
      </c>
      <c r="F19" s="458">
        <v>1.6</v>
      </c>
      <c r="G19" s="459"/>
      <c r="H19" s="458">
        <v>95.421800000000005</v>
      </c>
      <c r="I19" s="458">
        <v>95.402000000000015</v>
      </c>
      <c r="J19" s="458" t="s">
        <v>97</v>
      </c>
      <c r="K19" t="s">
        <v>116</v>
      </c>
    </row>
    <row r="20" spans="2:11" ht="15.75">
      <c r="B20" s="458" t="s">
        <v>124</v>
      </c>
      <c r="C20" s="458">
        <v>24.8</v>
      </c>
      <c r="D20" s="458">
        <v>113.67</v>
      </c>
      <c r="E20" s="458">
        <v>11</v>
      </c>
      <c r="F20" s="458">
        <v>1.6</v>
      </c>
      <c r="G20" s="459"/>
      <c r="H20" s="458">
        <v>114.4218</v>
      </c>
      <c r="I20" s="458">
        <v>114.40200000000002</v>
      </c>
      <c r="J20" s="458" t="s">
        <v>97</v>
      </c>
      <c r="K20" t="s">
        <v>116</v>
      </c>
    </row>
    <row r="21" spans="2:11" ht="18.75">
      <c r="B21" s="457" t="s">
        <v>125</v>
      </c>
      <c r="C21" s="362"/>
      <c r="D21" s="362"/>
      <c r="E21" s="362"/>
      <c r="F21" s="362"/>
      <c r="G21" s="362"/>
      <c r="H21" s="362"/>
      <c r="I21" s="362"/>
      <c r="J21" s="362"/>
      <c r="K21" s="359"/>
    </row>
    <row r="22" spans="2:11" ht="15.75">
      <c r="B22" s="458" t="s">
        <v>126</v>
      </c>
      <c r="C22" s="458">
        <v>9.9499999999999993</v>
      </c>
      <c r="D22" s="458">
        <v>90.7</v>
      </c>
      <c r="E22" s="458">
        <v>32</v>
      </c>
      <c r="F22" s="458">
        <v>4.2</v>
      </c>
      <c r="G22" s="459"/>
      <c r="H22" s="458">
        <v>92.751599999999996</v>
      </c>
      <c r="I22" s="458">
        <v>92.709000000000003</v>
      </c>
      <c r="J22" s="458" t="s">
        <v>97</v>
      </c>
      <c r="K22" t="s">
        <v>116</v>
      </c>
    </row>
    <row r="23" spans="2:11" ht="15.75">
      <c r="B23" s="458" t="s">
        <v>127</v>
      </c>
      <c r="C23" s="458">
        <v>30</v>
      </c>
      <c r="D23" s="458">
        <v>102.41</v>
      </c>
      <c r="E23" s="458">
        <v>32</v>
      </c>
      <c r="F23" s="458">
        <v>4.2</v>
      </c>
      <c r="G23" s="459"/>
      <c r="H23" s="458">
        <v>104.46159999999999</v>
      </c>
      <c r="I23" s="458">
        <v>104.419</v>
      </c>
      <c r="J23" s="458" t="s">
        <v>97</v>
      </c>
      <c r="K23" t="s">
        <v>116</v>
      </c>
    </row>
    <row r="24" spans="2:11" ht="15.75">
      <c r="B24" s="458" t="s">
        <v>128</v>
      </c>
      <c r="C24" s="458">
        <v>38</v>
      </c>
      <c r="D24" s="458">
        <v>75</v>
      </c>
      <c r="E24" s="458">
        <v>32</v>
      </c>
      <c r="F24" s="458">
        <v>4.2</v>
      </c>
      <c r="G24" s="459"/>
      <c r="H24" s="458">
        <v>77.051599999999993</v>
      </c>
      <c r="I24" s="458">
        <v>77.009</v>
      </c>
      <c r="J24" s="458" t="s">
        <v>97</v>
      </c>
      <c r="K24" t="s">
        <v>116</v>
      </c>
    </row>
    <row r="25" spans="2:11" ht="15.75">
      <c r="B25" s="458" t="s">
        <v>129</v>
      </c>
      <c r="C25" s="458">
        <v>28</v>
      </c>
      <c r="D25" s="458">
        <v>85.97</v>
      </c>
      <c r="E25" s="458">
        <v>32</v>
      </c>
      <c r="F25" s="458">
        <v>4.2</v>
      </c>
      <c r="G25" s="459"/>
      <c r="H25" s="458">
        <v>88.021599999999992</v>
      </c>
      <c r="I25" s="458">
        <v>87.978999999999999</v>
      </c>
      <c r="J25" s="458" t="s">
        <v>97</v>
      </c>
      <c r="K25" t="s">
        <v>116</v>
      </c>
    </row>
    <row r="26" spans="2:11" ht="18.75">
      <c r="B26" s="457" t="s">
        <v>130</v>
      </c>
      <c r="C26" s="362"/>
      <c r="D26" s="362"/>
      <c r="E26" s="362"/>
      <c r="F26" s="362"/>
      <c r="G26" s="362"/>
      <c r="H26" s="362"/>
      <c r="I26" s="362"/>
      <c r="J26" s="362"/>
      <c r="K26" s="359"/>
    </row>
    <row r="27" spans="2:11" ht="15.75">
      <c r="B27" s="458" t="s">
        <v>131</v>
      </c>
      <c r="C27" s="458">
        <v>8.25</v>
      </c>
      <c r="D27" s="459"/>
      <c r="E27" s="458">
        <v>32</v>
      </c>
      <c r="F27" s="458">
        <v>4.2</v>
      </c>
      <c r="G27" s="458">
        <v>118.17</v>
      </c>
      <c r="H27" s="458">
        <v>120.2216</v>
      </c>
      <c r="I27" s="458">
        <v>120.179</v>
      </c>
      <c r="J27" s="458" t="s">
        <v>97</v>
      </c>
      <c r="K27" t="s">
        <v>116</v>
      </c>
    </row>
    <row r="28" spans="2:11" ht="15.75">
      <c r="B28" s="458" t="s">
        <v>132</v>
      </c>
      <c r="C28" s="458">
        <v>8</v>
      </c>
      <c r="D28" s="459"/>
      <c r="E28" s="458">
        <v>32</v>
      </c>
      <c r="F28" s="458">
        <v>4.2</v>
      </c>
      <c r="G28" s="458">
        <v>111.84</v>
      </c>
      <c r="H28" s="458">
        <v>113.8916</v>
      </c>
      <c r="I28" s="458">
        <v>113.849</v>
      </c>
      <c r="J28" s="458" t="s">
        <v>97</v>
      </c>
      <c r="K28" t="s">
        <v>116</v>
      </c>
    </row>
    <row r="29" spans="2:11" ht="15.75">
      <c r="B29" s="458" t="s">
        <v>133</v>
      </c>
      <c r="C29" s="458">
        <v>10.39</v>
      </c>
      <c r="D29" s="459"/>
      <c r="E29" s="458">
        <v>32</v>
      </c>
      <c r="F29" s="458">
        <v>4.2</v>
      </c>
      <c r="G29" s="458">
        <v>105.51</v>
      </c>
      <c r="H29" s="458">
        <v>107.5616</v>
      </c>
      <c r="I29" s="458">
        <v>107.51900000000001</v>
      </c>
      <c r="J29" s="458" t="s">
        <v>97</v>
      </c>
      <c r="K29" t="s">
        <v>116</v>
      </c>
    </row>
    <row r="30" spans="2:11" ht="15.75">
      <c r="B30" s="458" t="s">
        <v>134</v>
      </c>
      <c r="C30" s="458">
        <v>17.48</v>
      </c>
      <c r="D30" s="459"/>
      <c r="E30" s="458">
        <v>7.2</v>
      </c>
      <c r="F30" s="458">
        <v>3.6</v>
      </c>
      <c r="G30" s="458">
        <v>93.8</v>
      </c>
      <c r="H30" s="458">
        <v>95.052800000000005</v>
      </c>
      <c r="I30" s="458">
        <v>94.95559999999999</v>
      </c>
      <c r="J30" s="458" t="s">
        <v>97</v>
      </c>
      <c r="K30" t="s">
        <v>116</v>
      </c>
    </row>
    <row r="31" spans="2:11" s="248" customFormat="1" ht="18.75">
      <c r="B31" s="457" t="s">
        <v>135</v>
      </c>
      <c r="C31" s="457" t="s">
        <v>136</v>
      </c>
      <c r="D31" s="457"/>
      <c r="E31" s="457"/>
      <c r="F31" s="457"/>
      <c r="G31" s="457"/>
      <c r="H31" s="457"/>
      <c r="I31" s="457"/>
      <c r="J31" s="362"/>
      <c r="K31" s="358"/>
    </row>
    <row r="32" spans="2:11" ht="15.75">
      <c r="B32" s="458" t="s">
        <v>137</v>
      </c>
      <c r="C32" s="458">
        <v>1.026E-3</v>
      </c>
      <c r="D32" s="458">
        <v>53.06</v>
      </c>
      <c r="E32" s="458">
        <v>1</v>
      </c>
      <c r="F32" s="458">
        <v>0.1</v>
      </c>
      <c r="G32" s="459"/>
      <c r="H32" s="458">
        <v>53.114800000000002</v>
      </c>
      <c r="I32" s="458">
        <v>53.1145</v>
      </c>
      <c r="J32" s="458" t="s">
        <v>97</v>
      </c>
      <c r="K32" t="s">
        <v>116</v>
      </c>
    </row>
    <row r="33" spans="2:11" ht="18.75">
      <c r="B33" s="457" t="s">
        <v>138</v>
      </c>
      <c r="C33" s="362"/>
      <c r="D33" s="362"/>
      <c r="E33" s="362"/>
      <c r="F33" s="362"/>
      <c r="G33" s="362"/>
      <c r="H33" s="362"/>
      <c r="I33" s="362"/>
      <c r="J33" s="362"/>
      <c r="K33" s="359"/>
    </row>
    <row r="34" spans="2:11" ht="15.75">
      <c r="B34" s="458" t="s">
        <v>139</v>
      </c>
      <c r="C34" s="458">
        <v>9.2E-5</v>
      </c>
      <c r="D34" s="458">
        <v>274.32</v>
      </c>
      <c r="E34" s="458">
        <v>2.2000000000000002E-2</v>
      </c>
      <c r="F34" s="458">
        <v>0.1</v>
      </c>
      <c r="G34" s="459"/>
      <c r="H34" s="458">
        <v>274.35034999999999</v>
      </c>
      <c r="I34" s="458">
        <v>274.34711599999997</v>
      </c>
      <c r="J34" s="458" t="s">
        <v>97</v>
      </c>
      <c r="K34" t="s">
        <v>116</v>
      </c>
    </row>
    <row r="35" spans="2:11" ht="15.75">
      <c r="B35" s="458" t="s">
        <v>140</v>
      </c>
      <c r="C35" s="458">
        <v>5.9900000000000003E-4</v>
      </c>
      <c r="D35" s="458">
        <v>46.85</v>
      </c>
      <c r="E35" s="458">
        <v>0.48</v>
      </c>
      <c r="F35" s="458">
        <v>0.1</v>
      </c>
      <c r="G35" s="459"/>
      <c r="H35" s="458">
        <v>46.891800000000003</v>
      </c>
      <c r="I35" s="458">
        <v>46.889940000000003</v>
      </c>
      <c r="J35" s="458" t="s">
        <v>97</v>
      </c>
      <c r="K35" t="s">
        <v>116</v>
      </c>
    </row>
    <row r="36" spans="2:11" ht="15.75">
      <c r="B36" s="458" t="s">
        <v>141</v>
      </c>
      <c r="C36" s="458">
        <v>1.3879999999999999E-3</v>
      </c>
      <c r="D36" s="458">
        <v>59</v>
      </c>
      <c r="E36" s="458">
        <v>3</v>
      </c>
      <c r="F36" s="458">
        <v>0.6</v>
      </c>
      <c r="G36" s="459"/>
      <c r="H36" s="458">
        <v>59.253800000000005</v>
      </c>
      <c r="I36" s="458">
        <v>59.243000000000002</v>
      </c>
      <c r="J36" s="458" t="s">
        <v>97</v>
      </c>
      <c r="K36" t="s">
        <v>116</v>
      </c>
    </row>
    <row r="37" spans="2:11" ht="15.75">
      <c r="B37" s="458" t="s">
        <v>142</v>
      </c>
      <c r="C37" s="458">
        <v>2.516E-3</v>
      </c>
      <c r="D37" s="458">
        <v>61.46</v>
      </c>
      <c r="E37" s="458">
        <v>3</v>
      </c>
      <c r="F37" s="458">
        <v>0.6</v>
      </c>
      <c r="G37" s="459"/>
      <c r="H37" s="458">
        <v>61.713800000000006</v>
      </c>
      <c r="I37" s="458">
        <v>61.703000000000003</v>
      </c>
      <c r="J37" s="458" t="s">
        <v>97</v>
      </c>
      <c r="K37" t="s">
        <v>116</v>
      </c>
    </row>
    <row r="38" spans="2:11" ht="18.75">
      <c r="B38" s="457" t="s">
        <v>143</v>
      </c>
      <c r="C38" s="362"/>
      <c r="D38" s="362"/>
      <c r="E38" s="362"/>
      <c r="F38" s="362"/>
      <c r="G38" s="362"/>
      <c r="H38" s="362"/>
      <c r="I38" s="362"/>
      <c r="J38" s="362"/>
      <c r="K38" s="359"/>
    </row>
    <row r="39" spans="2:11" ht="15.75">
      <c r="B39" s="458" t="s">
        <v>144</v>
      </c>
      <c r="C39" s="458">
        <v>4.8500000000000003E-4</v>
      </c>
      <c r="D39" s="459"/>
      <c r="E39" s="458">
        <v>3.2</v>
      </c>
      <c r="F39" s="458">
        <v>0.63</v>
      </c>
      <c r="G39" s="458">
        <v>52.07</v>
      </c>
      <c r="H39" s="458">
        <v>52.337739999999997</v>
      </c>
      <c r="I39" s="458">
        <v>52.326549999999997</v>
      </c>
      <c r="J39" s="458" t="s">
        <v>97</v>
      </c>
      <c r="K39" t="s">
        <v>116</v>
      </c>
    </row>
    <row r="40" spans="2:11" ht="15.75">
      <c r="B40" s="458" t="s">
        <v>145</v>
      </c>
      <c r="C40" s="458">
        <v>6.5499999999999998E-4</v>
      </c>
      <c r="D40" s="459"/>
      <c r="E40" s="458">
        <v>3.2</v>
      </c>
      <c r="F40" s="458">
        <v>0.63</v>
      </c>
      <c r="G40" s="458">
        <v>52.07</v>
      </c>
      <c r="H40" s="458">
        <v>52.337739999999997</v>
      </c>
      <c r="I40" s="458">
        <v>52.326549999999997</v>
      </c>
      <c r="J40" s="458" t="s">
        <v>97</v>
      </c>
      <c r="K40" t="s">
        <v>116</v>
      </c>
    </row>
    <row r="41" spans="2:11" s="248" customFormat="1" ht="18.75">
      <c r="B41" s="457" t="s">
        <v>146</v>
      </c>
      <c r="C41" s="457" t="s">
        <v>147</v>
      </c>
      <c r="D41" s="457"/>
      <c r="E41" s="457"/>
      <c r="F41" s="457"/>
      <c r="G41" s="457"/>
      <c r="H41" s="457"/>
      <c r="I41" s="457"/>
      <c r="J41" s="362"/>
      <c r="K41" s="358"/>
    </row>
    <row r="42" spans="2:11" ht="15.75">
      <c r="B42" s="458" t="s">
        <v>148</v>
      </c>
      <c r="C42" s="458">
        <v>0.158</v>
      </c>
      <c r="D42" s="458">
        <v>75.36</v>
      </c>
      <c r="E42" s="458">
        <v>3</v>
      </c>
      <c r="F42" s="458">
        <v>0.6</v>
      </c>
      <c r="G42" s="459"/>
      <c r="H42" s="458">
        <v>75.613799999999998</v>
      </c>
      <c r="I42" s="458">
        <v>75.603000000000009</v>
      </c>
      <c r="J42" s="458" t="s">
        <v>97</v>
      </c>
      <c r="K42" t="s">
        <v>116</v>
      </c>
    </row>
    <row r="43" spans="2:11" ht="15.75">
      <c r="B43" s="458" t="s">
        <v>149</v>
      </c>
      <c r="C43" s="458">
        <v>0.12</v>
      </c>
      <c r="D43" s="458">
        <v>69.25</v>
      </c>
      <c r="E43" s="458">
        <v>3</v>
      </c>
      <c r="F43" s="458">
        <v>0.6</v>
      </c>
      <c r="G43" s="459"/>
      <c r="H43" s="458">
        <v>69.503799999999998</v>
      </c>
      <c r="I43" s="458">
        <v>69.493000000000009</v>
      </c>
      <c r="J43" s="458" t="s">
        <v>97</v>
      </c>
      <c r="K43" t="s">
        <v>116</v>
      </c>
    </row>
    <row r="44" spans="2:11" ht="15.75">
      <c r="B44" s="458" t="s">
        <v>150</v>
      </c>
      <c r="C44" s="458">
        <v>0.10299999999999999</v>
      </c>
      <c r="D44" s="458">
        <v>64.77</v>
      </c>
      <c r="E44" s="458">
        <v>3</v>
      </c>
      <c r="F44" s="458">
        <v>0.6</v>
      </c>
      <c r="G44" s="459"/>
      <c r="H44" s="458">
        <v>65.023799999999994</v>
      </c>
      <c r="I44" s="458">
        <v>65.013000000000005</v>
      </c>
      <c r="J44" s="458" t="s">
        <v>97</v>
      </c>
      <c r="K44" t="s">
        <v>116</v>
      </c>
    </row>
    <row r="45" spans="2:11" ht="15.75">
      <c r="B45" s="458" t="s">
        <v>151</v>
      </c>
      <c r="C45" s="458">
        <v>0.105</v>
      </c>
      <c r="D45" s="458">
        <v>68.72</v>
      </c>
      <c r="E45" s="458">
        <v>3</v>
      </c>
      <c r="F45" s="458">
        <v>0.6</v>
      </c>
      <c r="G45" s="459"/>
      <c r="H45" s="458">
        <v>68.973799999999997</v>
      </c>
      <c r="I45" s="458">
        <v>68.963000000000008</v>
      </c>
      <c r="J45" s="458" t="s">
        <v>97</v>
      </c>
      <c r="K45" t="s">
        <v>116</v>
      </c>
    </row>
    <row r="46" spans="2:11" ht="15.75">
      <c r="B46" s="458" t="s">
        <v>152</v>
      </c>
      <c r="C46" s="458">
        <v>0.13800000000000001</v>
      </c>
      <c r="D46" s="458">
        <v>74.540000000000006</v>
      </c>
      <c r="E46" s="458">
        <v>3</v>
      </c>
      <c r="F46" s="458">
        <v>0.6</v>
      </c>
      <c r="G46" s="459"/>
      <c r="H46" s="458">
        <v>74.793800000000005</v>
      </c>
      <c r="I46" s="458">
        <v>74.783000000000015</v>
      </c>
      <c r="J46" s="458" t="s">
        <v>97</v>
      </c>
      <c r="K46" t="s">
        <v>116</v>
      </c>
    </row>
    <row r="47" spans="2:11" ht="15.75">
      <c r="B47" s="458" t="s">
        <v>153</v>
      </c>
      <c r="C47" s="458">
        <v>0.13900000000000001</v>
      </c>
      <c r="D47" s="458">
        <v>73.25</v>
      </c>
      <c r="E47" s="458">
        <v>3</v>
      </c>
      <c r="F47" s="458">
        <v>0.6</v>
      </c>
      <c r="G47" s="459"/>
      <c r="H47" s="458">
        <v>73.503799999999998</v>
      </c>
      <c r="I47" s="458">
        <v>73.493000000000009</v>
      </c>
      <c r="J47" s="458" t="s">
        <v>97</v>
      </c>
      <c r="K47" t="s">
        <v>116</v>
      </c>
    </row>
    <row r="48" spans="2:11" ht="15.75">
      <c r="B48" s="458" t="s">
        <v>154</v>
      </c>
      <c r="C48" s="458">
        <v>0.13800000000000001</v>
      </c>
      <c r="D48" s="458">
        <v>73.959999999999994</v>
      </c>
      <c r="E48" s="458">
        <v>3</v>
      </c>
      <c r="F48" s="458">
        <v>0.6</v>
      </c>
      <c r="G48" s="459"/>
      <c r="H48" s="458">
        <v>74.213799999999992</v>
      </c>
      <c r="I48" s="458">
        <v>74.203000000000003</v>
      </c>
      <c r="J48" s="458" t="s">
        <v>97</v>
      </c>
      <c r="K48" t="s">
        <v>116</v>
      </c>
    </row>
    <row r="49" spans="2:11" ht="15.75">
      <c r="B49" s="458" t="s">
        <v>155</v>
      </c>
      <c r="C49" s="458">
        <v>0.14599999999999999</v>
      </c>
      <c r="D49" s="458">
        <v>75.040000000000006</v>
      </c>
      <c r="E49" s="458">
        <v>3</v>
      </c>
      <c r="F49" s="458">
        <v>0.6</v>
      </c>
      <c r="G49" s="459"/>
      <c r="H49" s="458">
        <v>75.293800000000005</v>
      </c>
      <c r="I49" s="458">
        <v>75.283000000000015</v>
      </c>
      <c r="J49" s="458" t="s">
        <v>97</v>
      </c>
      <c r="K49" t="s">
        <v>116</v>
      </c>
    </row>
    <row r="50" spans="2:11" ht="15.75">
      <c r="B50" s="458" t="s">
        <v>156</v>
      </c>
      <c r="C50" s="458">
        <v>6.8000000000000005E-2</v>
      </c>
      <c r="D50" s="458">
        <v>59.6</v>
      </c>
      <c r="E50" s="458">
        <v>3</v>
      </c>
      <c r="F50" s="458">
        <v>0.6</v>
      </c>
      <c r="G50" s="459"/>
      <c r="H50" s="458">
        <v>59.853800000000007</v>
      </c>
      <c r="I50" s="458">
        <v>59.843000000000004</v>
      </c>
      <c r="J50" s="458" t="s">
        <v>97</v>
      </c>
      <c r="K50" t="s">
        <v>116</v>
      </c>
    </row>
    <row r="51" spans="2:11" ht="15.75">
      <c r="B51" s="458" t="s">
        <v>157</v>
      </c>
      <c r="C51" s="458">
        <v>5.8000000000000003E-2</v>
      </c>
      <c r="D51" s="458">
        <v>65.959999999999994</v>
      </c>
      <c r="E51" s="458">
        <v>3</v>
      </c>
      <c r="F51" s="458">
        <v>0.6</v>
      </c>
      <c r="G51" s="459"/>
      <c r="H51" s="458">
        <v>66.213799999999992</v>
      </c>
      <c r="I51" s="458">
        <v>66.203000000000003</v>
      </c>
      <c r="J51" s="458" t="s">
        <v>97</v>
      </c>
      <c r="K51" t="s">
        <v>116</v>
      </c>
    </row>
    <row r="52" spans="2:11" ht="15.75">
      <c r="B52" s="458" t="s">
        <v>158</v>
      </c>
      <c r="C52" s="458">
        <v>0.14799999999999999</v>
      </c>
      <c r="D52" s="458">
        <v>74.92</v>
      </c>
      <c r="E52" s="458">
        <v>3</v>
      </c>
      <c r="F52" s="458">
        <v>0.6</v>
      </c>
      <c r="G52" s="459"/>
      <c r="H52" s="458">
        <v>75.1738</v>
      </c>
      <c r="I52" s="458">
        <v>75.163000000000011</v>
      </c>
      <c r="J52" s="458" t="s">
        <v>97</v>
      </c>
      <c r="K52" t="s">
        <v>116</v>
      </c>
    </row>
    <row r="53" spans="2:11" ht="15.75">
      <c r="B53" s="458" t="s">
        <v>159</v>
      </c>
      <c r="C53" s="458">
        <v>9.9000000000000005E-2</v>
      </c>
      <c r="D53" s="458">
        <v>64.94</v>
      </c>
      <c r="E53" s="458">
        <v>3</v>
      </c>
      <c r="F53" s="458">
        <v>0.6</v>
      </c>
      <c r="G53" s="459"/>
      <c r="H53" s="458">
        <v>65.193799999999996</v>
      </c>
      <c r="I53" s="458">
        <v>65.183000000000007</v>
      </c>
      <c r="J53" s="458" t="s">
        <v>97</v>
      </c>
      <c r="K53" t="s">
        <v>116</v>
      </c>
    </row>
    <row r="54" spans="2:11" ht="15.75">
      <c r="B54" s="458" t="s">
        <v>160</v>
      </c>
      <c r="C54" s="458">
        <v>0.10299999999999999</v>
      </c>
      <c r="D54" s="458">
        <v>68.86</v>
      </c>
      <c r="E54" s="458">
        <v>3</v>
      </c>
      <c r="F54" s="458">
        <v>0.6</v>
      </c>
      <c r="G54" s="459"/>
      <c r="H54" s="458">
        <v>69.113799999999998</v>
      </c>
      <c r="I54" s="458">
        <v>69.103000000000009</v>
      </c>
      <c r="J54" s="458" t="s">
        <v>97</v>
      </c>
      <c r="K54" t="s">
        <v>116</v>
      </c>
    </row>
    <row r="55" spans="2:11" ht="15.75">
      <c r="B55" s="458" t="s">
        <v>161</v>
      </c>
      <c r="C55" s="458">
        <v>0.13500000000000001</v>
      </c>
      <c r="D55" s="458">
        <v>75.2</v>
      </c>
      <c r="E55" s="458">
        <v>3</v>
      </c>
      <c r="F55" s="458">
        <v>0.6</v>
      </c>
      <c r="G55" s="459"/>
      <c r="H55" s="458">
        <v>75.453800000000001</v>
      </c>
      <c r="I55" s="458">
        <v>75.443000000000012</v>
      </c>
      <c r="J55" s="458" t="s">
        <v>97</v>
      </c>
      <c r="K55" t="s">
        <v>116</v>
      </c>
    </row>
    <row r="56" spans="2:11" ht="15.75">
      <c r="B56" s="458" t="s">
        <v>162</v>
      </c>
      <c r="C56" s="458">
        <v>0.13500000000000001</v>
      </c>
      <c r="D56" s="458">
        <v>72.22</v>
      </c>
      <c r="E56" s="458">
        <v>3</v>
      </c>
      <c r="F56" s="458">
        <v>0.6</v>
      </c>
      <c r="G56" s="459"/>
      <c r="H56" s="458">
        <v>72.473799999999997</v>
      </c>
      <c r="I56" s="458">
        <v>72.463000000000008</v>
      </c>
      <c r="J56" s="458" t="s">
        <v>97</v>
      </c>
      <c r="K56" t="s">
        <v>116</v>
      </c>
    </row>
    <row r="57" spans="2:11" ht="15.75">
      <c r="B57" s="458" t="s">
        <v>163</v>
      </c>
      <c r="C57" s="458">
        <v>9.1999999999999998E-2</v>
      </c>
      <c r="D57" s="458">
        <v>61.71</v>
      </c>
      <c r="E57" s="458">
        <v>3</v>
      </c>
      <c r="F57" s="458">
        <v>0.6</v>
      </c>
      <c r="G57" s="459"/>
      <c r="H57" s="458">
        <v>61.963800000000006</v>
      </c>
      <c r="I57" s="458">
        <v>61.953000000000003</v>
      </c>
      <c r="J57" s="458" t="s">
        <v>97</v>
      </c>
      <c r="K57" t="s">
        <v>116</v>
      </c>
    </row>
    <row r="58" spans="2:11" ht="15.75">
      <c r="B58" s="458" t="s">
        <v>164</v>
      </c>
      <c r="C58" s="458">
        <v>0.14399999999999999</v>
      </c>
      <c r="D58" s="458">
        <v>74.27</v>
      </c>
      <c r="E58" s="458">
        <v>3</v>
      </c>
      <c r="F58" s="458">
        <v>0.6</v>
      </c>
      <c r="G58" s="459"/>
      <c r="H58" s="458">
        <v>74.523799999999994</v>
      </c>
      <c r="I58" s="458">
        <v>74.513000000000005</v>
      </c>
      <c r="J58" s="458" t="s">
        <v>97</v>
      </c>
      <c r="K58" t="s">
        <v>116</v>
      </c>
    </row>
    <row r="59" spans="2:11" ht="15.75">
      <c r="B59" s="458" t="s">
        <v>165</v>
      </c>
      <c r="C59" s="458">
        <v>0.125</v>
      </c>
      <c r="D59" s="458">
        <v>70.22</v>
      </c>
      <c r="E59" s="458">
        <v>3</v>
      </c>
      <c r="F59" s="458">
        <v>0.6</v>
      </c>
      <c r="G59" s="459"/>
      <c r="H59" s="458">
        <v>70.473799999999997</v>
      </c>
      <c r="I59" s="458">
        <v>70.463000000000008</v>
      </c>
      <c r="J59" s="458" t="s">
        <v>97</v>
      </c>
      <c r="K59" t="s">
        <v>116</v>
      </c>
    </row>
    <row r="60" spans="2:11" ht="15.75">
      <c r="B60" s="458" t="s">
        <v>166</v>
      </c>
      <c r="C60" s="458">
        <v>0.125</v>
      </c>
      <c r="D60" s="458">
        <v>68.02</v>
      </c>
      <c r="E60" s="458">
        <v>3</v>
      </c>
      <c r="F60" s="458">
        <v>0.6</v>
      </c>
      <c r="G60" s="459"/>
      <c r="H60" s="458">
        <v>68.273799999999994</v>
      </c>
      <c r="I60" s="458">
        <v>68.263000000000005</v>
      </c>
      <c r="J60" s="458" t="s">
        <v>97</v>
      </c>
      <c r="K60" t="s">
        <v>116</v>
      </c>
    </row>
    <row r="61" spans="2:11" ht="15.75">
      <c r="B61" s="458" t="s">
        <v>167</v>
      </c>
      <c r="C61" s="458">
        <v>0.11</v>
      </c>
      <c r="D61" s="458">
        <v>66.88</v>
      </c>
      <c r="E61" s="458">
        <v>3</v>
      </c>
      <c r="F61" s="458">
        <v>0.6</v>
      </c>
      <c r="G61" s="459"/>
      <c r="H61" s="458">
        <v>67.133799999999994</v>
      </c>
      <c r="I61" s="458">
        <v>67.123000000000005</v>
      </c>
      <c r="J61" s="458" t="s">
        <v>97</v>
      </c>
      <c r="K61" t="s">
        <v>116</v>
      </c>
    </row>
    <row r="62" spans="2:11" ht="15.75">
      <c r="B62" s="458" t="s">
        <v>168</v>
      </c>
      <c r="C62" s="458">
        <v>0.13900000000000001</v>
      </c>
      <c r="D62" s="458">
        <v>76.22</v>
      </c>
      <c r="E62" s="458">
        <v>3</v>
      </c>
      <c r="F62" s="458">
        <v>0.6</v>
      </c>
      <c r="G62" s="459"/>
      <c r="H62" s="458">
        <v>76.473799999999997</v>
      </c>
      <c r="I62" s="458">
        <v>76.463000000000008</v>
      </c>
      <c r="J62" s="458" t="s">
        <v>97</v>
      </c>
      <c r="K62" t="s">
        <v>116</v>
      </c>
    </row>
    <row r="63" spans="2:11" ht="15.75">
      <c r="B63" s="458" t="s">
        <v>169</v>
      </c>
      <c r="C63" s="458">
        <v>0.11</v>
      </c>
      <c r="D63" s="458">
        <v>70.02</v>
      </c>
      <c r="E63" s="458">
        <v>3</v>
      </c>
      <c r="F63" s="458">
        <v>0.6</v>
      </c>
      <c r="G63" s="459"/>
      <c r="H63" s="458">
        <v>70.273799999999994</v>
      </c>
      <c r="I63" s="458">
        <v>70.263000000000005</v>
      </c>
      <c r="J63" s="458" t="s">
        <v>97</v>
      </c>
      <c r="K63" t="s">
        <v>116</v>
      </c>
    </row>
    <row r="64" spans="2:11" ht="15.75">
      <c r="B64" s="458" t="s">
        <v>170</v>
      </c>
      <c r="C64" s="458">
        <v>0.125</v>
      </c>
      <c r="D64" s="458">
        <v>71.02</v>
      </c>
      <c r="E64" s="458">
        <v>3</v>
      </c>
      <c r="F64" s="458">
        <v>0.6</v>
      </c>
      <c r="G64" s="459"/>
      <c r="H64" s="458">
        <v>71.273799999999994</v>
      </c>
      <c r="I64" s="458">
        <v>71.263000000000005</v>
      </c>
      <c r="J64" s="458" t="s">
        <v>97</v>
      </c>
      <c r="K64" t="s">
        <v>116</v>
      </c>
    </row>
    <row r="65" spans="2:11" ht="15.75">
      <c r="B65" s="458" t="s">
        <v>171</v>
      </c>
      <c r="C65" s="458">
        <v>0.14299999999999999</v>
      </c>
      <c r="D65" s="458">
        <v>102.41</v>
      </c>
      <c r="E65" s="458">
        <v>3</v>
      </c>
      <c r="F65" s="458">
        <v>0.6</v>
      </c>
      <c r="G65" s="459"/>
      <c r="H65" s="458">
        <v>102.66379999999999</v>
      </c>
      <c r="I65" s="458">
        <v>102.65300000000001</v>
      </c>
      <c r="J65" s="458" t="s">
        <v>97</v>
      </c>
      <c r="K65" t="s">
        <v>116</v>
      </c>
    </row>
    <row r="66" spans="2:11" ht="15.75">
      <c r="B66" s="458" t="s">
        <v>172</v>
      </c>
      <c r="C66" s="458">
        <v>9.0999999999999998E-2</v>
      </c>
      <c r="D66" s="458">
        <v>62.87</v>
      </c>
      <c r="E66" s="458">
        <v>3</v>
      </c>
      <c r="F66" s="458">
        <v>0.6</v>
      </c>
      <c r="G66" s="459"/>
      <c r="H66" s="458">
        <v>63.123800000000003</v>
      </c>
      <c r="I66" s="458">
        <v>63.113</v>
      </c>
      <c r="J66" s="458" t="s">
        <v>97</v>
      </c>
      <c r="K66" t="s">
        <v>116</v>
      </c>
    </row>
    <row r="67" spans="2:11" ht="15.75">
      <c r="B67" s="458" t="s">
        <v>173</v>
      </c>
      <c r="C67" s="458">
        <v>9.0999999999999998E-2</v>
      </c>
      <c r="D67" s="458">
        <v>67.77</v>
      </c>
      <c r="E67" s="458">
        <v>3</v>
      </c>
      <c r="F67" s="458">
        <v>0.6</v>
      </c>
      <c r="G67" s="459"/>
      <c r="H67" s="458">
        <v>68.023799999999994</v>
      </c>
      <c r="I67" s="458">
        <v>68.013000000000005</v>
      </c>
      <c r="J67" s="458" t="s">
        <v>97</v>
      </c>
      <c r="K67" t="s">
        <v>116</v>
      </c>
    </row>
    <row r="68" spans="2:11" ht="15.75">
      <c r="B68" s="458" t="s">
        <v>174</v>
      </c>
      <c r="C68" s="458">
        <v>0.14000000000000001</v>
      </c>
      <c r="D68" s="458">
        <v>72.930000000000007</v>
      </c>
      <c r="E68" s="458">
        <v>3</v>
      </c>
      <c r="F68" s="458">
        <v>0.6</v>
      </c>
      <c r="G68" s="459"/>
      <c r="H68" s="458">
        <v>73.183800000000005</v>
      </c>
      <c r="I68" s="458">
        <v>73.173000000000016</v>
      </c>
      <c r="J68" s="458" t="s">
        <v>97</v>
      </c>
      <c r="K68" t="s">
        <v>116</v>
      </c>
    </row>
    <row r="69" spans="2:11" ht="15.75">
      <c r="B69" s="458" t="s">
        <v>175</v>
      </c>
      <c r="C69" s="458">
        <v>0.15</v>
      </c>
      <c r="D69" s="458">
        <v>75.099999999999994</v>
      </c>
      <c r="E69" s="458">
        <v>3</v>
      </c>
      <c r="F69" s="458">
        <v>0.6</v>
      </c>
      <c r="G69" s="459"/>
      <c r="H69" s="458">
        <v>75.353799999999993</v>
      </c>
      <c r="I69" s="458">
        <v>75.343000000000004</v>
      </c>
      <c r="J69" s="458" t="s">
        <v>97</v>
      </c>
      <c r="K69" t="s">
        <v>116</v>
      </c>
    </row>
    <row r="70" spans="2:11" ht="15.75">
      <c r="B70" s="458" t="s">
        <v>176</v>
      </c>
      <c r="C70" s="458">
        <v>0.125</v>
      </c>
      <c r="D70" s="458">
        <v>72.34</v>
      </c>
      <c r="E70" s="458">
        <v>3</v>
      </c>
      <c r="F70" s="458">
        <v>0.6</v>
      </c>
      <c r="G70" s="459"/>
      <c r="H70" s="458">
        <v>72.593800000000002</v>
      </c>
      <c r="I70" s="458">
        <v>72.583000000000013</v>
      </c>
      <c r="J70" s="458" t="s">
        <v>97</v>
      </c>
      <c r="K70" t="s">
        <v>116</v>
      </c>
    </row>
    <row r="71" spans="2:11" ht="15.75">
      <c r="B71" s="458" t="s">
        <v>177</v>
      </c>
      <c r="C71" s="458">
        <v>0.13900000000000001</v>
      </c>
      <c r="D71" s="458">
        <v>74.540000000000006</v>
      </c>
      <c r="E71" s="458">
        <v>3</v>
      </c>
      <c r="F71" s="458">
        <v>0.6</v>
      </c>
      <c r="G71" s="459"/>
      <c r="H71" s="458">
        <v>74.793800000000005</v>
      </c>
      <c r="I71" s="458">
        <v>74.783000000000015</v>
      </c>
      <c r="J71" s="458" t="s">
        <v>97</v>
      </c>
      <c r="K71" t="s">
        <v>116</v>
      </c>
    </row>
    <row r="72" spans="2:11" ht="15.75">
      <c r="B72" s="458" t="s">
        <v>178</v>
      </c>
      <c r="C72" s="458">
        <v>0.13800000000000001</v>
      </c>
      <c r="D72" s="458">
        <v>74</v>
      </c>
      <c r="E72" s="458">
        <v>3</v>
      </c>
      <c r="F72" s="458">
        <v>0.6</v>
      </c>
      <c r="G72" s="459"/>
      <c r="H72" s="458">
        <v>74.253799999999998</v>
      </c>
      <c r="I72" s="458">
        <v>74.243000000000009</v>
      </c>
      <c r="J72" s="458" t="s">
        <v>97</v>
      </c>
      <c r="K72" t="s">
        <v>116</v>
      </c>
    </row>
    <row r="73" spans="2:11" ht="18.75">
      <c r="B73" s="457" t="s">
        <v>179</v>
      </c>
      <c r="C73" s="362"/>
      <c r="D73" s="362"/>
      <c r="E73" s="362"/>
      <c r="F73" s="362"/>
      <c r="G73" s="362"/>
      <c r="H73" s="362"/>
      <c r="I73" s="362"/>
      <c r="J73" s="362"/>
      <c r="K73" s="359"/>
    </row>
    <row r="74" spans="2:11" ht="15.75">
      <c r="B74" s="458" t="s">
        <v>180</v>
      </c>
      <c r="C74" s="458">
        <v>0.128</v>
      </c>
      <c r="D74" s="459"/>
      <c r="E74" s="458">
        <v>1.1000000000000001</v>
      </c>
      <c r="F74" s="458">
        <v>0.11</v>
      </c>
      <c r="G74" s="458">
        <v>73.84</v>
      </c>
      <c r="H74" s="458">
        <v>73.900280000000009</v>
      </c>
      <c r="I74" s="458">
        <v>73.899950000000004</v>
      </c>
      <c r="J74" s="458" t="s">
        <v>97</v>
      </c>
      <c r="K74" t="s">
        <v>116</v>
      </c>
    </row>
    <row r="75" spans="2:11" ht="15.75">
      <c r="B75" s="458" t="s">
        <v>181</v>
      </c>
      <c r="C75" s="458">
        <v>8.4000000000000005E-2</v>
      </c>
      <c r="D75" s="459"/>
      <c r="E75" s="458">
        <v>1.1000000000000001</v>
      </c>
      <c r="F75" s="458">
        <v>0.11</v>
      </c>
      <c r="G75" s="458">
        <v>68.44</v>
      </c>
      <c r="H75" s="458">
        <v>68.500280000000004</v>
      </c>
      <c r="I75" s="458">
        <v>68.499949999999998</v>
      </c>
      <c r="J75" s="458" t="s">
        <v>97</v>
      </c>
      <c r="K75" t="s">
        <v>116</v>
      </c>
    </row>
    <row r="76" spans="2:11" ht="15.75">
      <c r="B76" s="458" t="s">
        <v>182</v>
      </c>
      <c r="C76" s="458">
        <v>0.125</v>
      </c>
      <c r="D76" s="459"/>
      <c r="E76" s="458">
        <v>1.1000000000000001</v>
      </c>
      <c r="F76" s="458">
        <v>0.11</v>
      </c>
      <c r="G76" s="458">
        <v>71.06</v>
      </c>
      <c r="H76" s="458">
        <v>71.120280000000008</v>
      </c>
      <c r="I76" s="458">
        <v>71.119950000000003</v>
      </c>
      <c r="J76" s="458" t="s">
        <v>97</v>
      </c>
      <c r="K76" t="s">
        <v>116</v>
      </c>
    </row>
    <row r="77" spans="2:11" ht="15.75">
      <c r="B77" s="458" t="s">
        <v>183</v>
      </c>
      <c r="C77" s="458">
        <v>0.12</v>
      </c>
      <c r="D77" s="459"/>
      <c r="E77" s="458">
        <v>1.1000000000000001</v>
      </c>
      <c r="F77" s="458">
        <v>0.11</v>
      </c>
      <c r="G77" s="458">
        <v>81.55</v>
      </c>
      <c r="H77" s="458">
        <v>81.610280000000003</v>
      </c>
      <c r="I77" s="458">
        <v>81.609949999999998</v>
      </c>
      <c r="J77" s="458" t="s">
        <v>97</v>
      </c>
      <c r="K77" t="s">
        <v>116</v>
      </c>
    </row>
    <row r="78" spans="2:11" ht="18.75">
      <c r="B78" s="457" t="s">
        <v>184</v>
      </c>
      <c r="C78" s="362"/>
      <c r="D78" s="362"/>
      <c r="E78" s="362"/>
      <c r="F78" s="362"/>
      <c r="G78" s="362"/>
      <c r="H78" s="362"/>
      <c r="I78" s="362"/>
      <c r="J78" s="362"/>
      <c r="K78" s="359"/>
    </row>
    <row r="79" spans="2:11" ht="15.75">
      <c r="B79" s="458" t="s">
        <v>185</v>
      </c>
      <c r="C79" s="459"/>
      <c r="D79" s="459"/>
      <c r="E79" s="458">
        <v>1.9</v>
      </c>
      <c r="F79" s="458">
        <v>0.42</v>
      </c>
      <c r="G79" s="458">
        <v>94.4</v>
      </c>
      <c r="H79" s="458">
        <v>94.572659999999999</v>
      </c>
      <c r="I79" s="458">
        <v>94.56450000000001</v>
      </c>
      <c r="J79" s="458" t="s">
        <v>97</v>
      </c>
      <c r="K79" t="s">
        <v>116</v>
      </c>
    </row>
    <row r="80" spans="2:11" ht="15.75">
      <c r="B80" s="458" t="s">
        <v>186</v>
      </c>
      <c r="C80" s="459"/>
      <c r="D80" s="459"/>
      <c r="E80" s="458">
        <v>1.9</v>
      </c>
      <c r="F80" s="458">
        <v>0.42</v>
      </c>
      <c r="G80" s="458">
        <v>93.7</v>
      </c>
      <c r="H80" s="458">
        <v>93.872659999999996</v>
      </c>
      <c r="I80" s="458">
        <v>93.864500000000007</v>
      </c>
      <c r="J80" s="458" t="s">
        <v>97</v>
      </c>
      <c r="K80" t="s">
        <v>116</v>
      </c>
    </row>
    <row r="81" spans="2:11" ht="15.75">
      <c r="B81" s="458" t="s">
        <v>187</v>
      </c>
      <c r="C81" s="459"/>
      <c r="D81" s="459"/>
      <c r="E81" s="458">
        <v>1.9</v>
      </c>
      <c r="F81" s="458">
        <v>0.42</v>
      </c>
      <c r="G81" s="458">
        <v>95.5</v>
      </c>
      <c r="H81" s="458">
        <v>95.672659999999993</v>
      </c>
      <c r="I81" s="458">
        <v>95.664500000000004</v>
      </c>
      <c r="J81" s="458" t="s">
        <v>97</v>
      </c>
      <c r="K81" t="s">
        <v>116</v>
      </c>
    </row>
    <row r="82" spans="2:11" ht="15.75">
      <c r="B82" s="458" t="s">
        <v>188</v>
      </c>
      <c r="C82" s="459"/>
      <c r="D82" s="459"/>
      <c r="E82" s="458">
        <v>1.9</v>
      </c>
      <c r="F82" s="458">
        <v>0.42</v>
      </c>
      <c r="G82" s="458">
        <v>93.7</v>
      </c>
      <c r="H82" s="458">
        <v>93.872659999999996</v>
      </c>
      <c r="I82" s="458">
        <v>93.864500000000007</v>
      </c>
      <c r="J82" s="458" t="s">
        <v>97</v>
      </c>
      <c r="K82" t="s">
        <v>116</v>
      </c>
    </row>
    <row r="83" spans="2:11" ht="15.75">
      <c r="B83" s="458" t="s">
        <v>189</v>
      </c>
      <c r="C83" s="459"/>
      <c r="D83" s="459"/>
      <c r="E83" s="458">
        <v>1.9</v>
      </c>
      <c r="F83" s="458">
        <v>0.42</v>
      </c>
      <c r="G83" s="458">
        <v>95.1</v>
      </c>
      <c r="H83" s="458">
        <v>95.272659999999988</v>
      </c>
      <c r="I83" s="458">
        <v>95.264499999999998</v>
      </c>
      <c r="J83" s="458" t="s">
        <v>97</v>
      </c>
      <c r="K83" t="s">
        <v>116</v>
      </c>
    </row>
    <row r="84" spans="2:11">
      <c r="B84" t="s">
        <v>190</v>
      </c>
    </row>
    <row r="85" spans="2:11">
      <c r="B85" t="s">
        <v>116</v>
      </c>
    </row>
    <row r="86" spans="2:11">
      <c r="B86" t="s">
        <v>191</v>
      </c>
    </row>
    <row r="91" spans="2:11" s="435" customFormat="1" ht="23.25">
      <c r="B91" s="435" t="s">
        <v>23</v>
      </c>
    </row>
    <row r="94" spans="2:11" hidden="1">
      <c r="B94" t="s">
        <v>192</v>
      </c>
    </row>
    <row r="95" spans="2:11" hidden="1"/>
    <row r="96" spans="2:11" hidden="1">
      <c r="B96" t="s">
        <v>103</v>
      </c>
      <c r="C96" t="s">
        <v>193</v>
      </c>
      <c r="D96" t="s">
        <v>194</v>
      </c>
    </row>
    <row r="97" spans="2:4" hidden="1">
      <c r="B97" t="s">
        <v>149</v>
      </c>
      <c r="C97">
        <v>8.31</v>
      </c>
      <c r="D97" t="s">
        <v>195</v>
      </c>
    </row>
    <row r="98" spans="2:4" hidden="1">
      <c r="B98" t="s">
        <v>180</v>
      </c>
      <c r="C98">
        <v>9.4499999999999993</v>
      </c>
      <c r="D98" t="s">
        <v>195</v>
      </c>
    </row>
    <row r="99" spans="2:4" hidden="1">
      <c r="B99" t="s">
        <v>196</v>
      </c>
      <c r="C99">
        <v>5.4440000000000002E-2</v>
      </c>
      <c r="D99" t="s">
        <v>197</v>
      </c>
    </row>
    <row r="100" spans="2:4" hidden="1">
      <c r="B100" t="s">
        <v>198</v>
      </c>
      <c r="C100">
        <v>10.210000000000001</v>
      </c>
      <c r="D100" t="s">
        <v>195</v>
      </c>
    </row>
    <row r="101" spans="2:4" hidden="1">
      <c r="B101" t="s">
        <v>181</v>
      </c>
      <c r="C101">
        <v>5.75</v>
      </c>
      <c r="D101" t="s">
        <v>195</v>
      </c>
    </row>
    <row r="102" spans="2:4" hidden="1">
      <c r="B102" t="s">
        <v>162</v>
      </c>
      <c r="C102">
        <v>9.75</v>
      </c>
      <c r="D102" t="s">
        <v>195</v>
      </c>
    </row>
    <row r="103" spans="2:4" hidden="1">
      <c r="B103" t="s">
        <v>199</v>
      </c>
      <c r="C103">
        <v>4.5</v>
      </c>
      <c r="D103" t="s">
        <v>195</v>
      </c>
    </row>
    <row r="104" spans="2:4" hidden="1">
      <c r="B104" t="s">
        <v>163</v>
      </c>
      <c r="C104">
        <v>5.68</v>
      </c>
      <c r="D104" t="s">
        <v>195</v>
      </c>
    </row>
    <row r="105" spans="2:4" hidden="1">
      <c r="B105" t="s">
        <v>165</v>
      </c>
      <c r="C105">
        <v>8.7799999999999994</v>
      </c>
      <c r="D105" t="s">
        <v>195</v>
      </c>
    </row>
    <row r="106" spans="2:4" hidden="1">
      <c r="B106" t="s">
        <v>200</v>
      </c>
      <c r="C106">
        <v>11.27</v>
      </c>
      <c r="D106" t="s">
        <v>195</v>
      </c>
    </row>
    <row r="107" spans="2:4" hidden="1">
      <c r="B107" t="s">
        <v>190</v>
      </c>
    </row>
    <row r="108" spans="2:4" hidden="1">
      <c r="B108" t="s">
        <v>201</v>
      </c>
    </row>
    <row r="109" spans="2:4" hidden="1">
      <c r="B109" t="s">
        <v>202</v>
      </c>
    </row>
    <row r="110" spans="2:4" hidden="1">
      <c r="B110" t="s">
        <v>203</v>
      </c>
    </row>
    <row r="111" spans="2:4" hidden="1"/>
    <row r="112" spans="2:4" hidden="1">
      <c r="B112" t="s">
        <v>204</v>
      </c>
    </row>
    <row r="113" spans="2:5" hidden="1"/>
    <row r="114" spans="2:5" hidden="1">
      <c r="B114" t="s">
        <v>205</v>
      </c>
      <c r="C114" t="s">
        <v>206</v>
      </c>
      <c r="D114" t="s">
        <v>207</v>
      </c>
      <c r="E114" t="s">
        <v>208</v>
      </c>
    </row>
    <row r="115" spans="2:5" hidden="1">
      <c r="B115" t="s">
        <v>209</v>
      </c>
      <c r="C115" t="s">
        <v>210</v>
      </c>
      <c r="D115">
        <v>0.1696</v>
      </c>
      <c r="E115">
        <v>1.9699999999999999E-2</v>
      </c>
    </row>
    <row r="116" spans="2:5" hidden="1">
      <c r="C116">
        <v>1975</v>
      </c>
      <c r="D116">
        <v>0.14230000000000001</v>
      </c>
      <c r="E116">
        <v>4.4299999999999999E-2</v>
      </c>
    </row>
    <row r="117" spans="2:5" hidden="1">
      <c r="C117" t="s">
        <v>211</v>
      </c>
      <c r="D117">
        <v>0.1406</v>
      </c>
      <c r="E117">
        <v>4.58E-2</v>
      </c>
    </row>
    <row r="118" spans="2:5" hidden="1">
      <c r="C118" t="s">
        <v>212</v>
      </c>
      <c r="D118">
        <v>0.1389</v>
      </c>
      <c r="E118">
        <v>4.7300000000000002E-2</v>
      </c>
    </row>
    <row r="119" spans="2:5" hidden="1">
      <c r="C119">
        <v>1980</v>
      </c>
      <c r="D119">
        <v>0.1326</v>
      </c>
      <c r="E119">
        <v>4.99E-2</v>
      </c>
    </row>
    <row r="120" spans="2:5" hidden="1">
      <c r="C120">
        <v>1981</v>
      </c>
      <c r="D120">
        <v>8.0199999999999994E-2</v>
      </c>
      <c r="E120">
        <v>6.2600000000000003E-2</v>
      </c>
    </row>
    <row r="121" spans="2:5" hidden="1">
      <c r="C121">
        <v>1982</v>
      </c>
      <c r="D121">
        <v>7.9500000000000001E-2</v>
      </c>
      <c r="E121">
        <v>6.2700000000000006E-2</v>
      </c>
    </row>
    <row r="122" spans="2:5" hidden="1">
      <c r="C122">
        <v>1983</v>
      </c>
      <c r="D122">
        <v>7.8200000000000006E-2</v>
      </c>
      <c r="E122">
        <v>6.3E-2</v>
      </c>
    </row>
    <row r="123" spans="2:5" hidden="1">
      <c r="C123" t="s">
        <v>213</v>
      </c>
      <c r="D123">
        <v>7.0400000000000004E-2</v>
      </c>
      <c r="E123">
        <v>6.4699999999999994E-2</v>
      </c>
    </row>
    <row r="124" spans="2:5" hidden="1">
      <c r="C124">
        <v>1994</v>
      </c>
      <c r="D124">
        <v>5.3100000000000001E-2</v>
      </c>
      <c r="E124">
        <v>5.6000000000000001E-2</v>
      </c>
    </row>
    <row r="125" spans="2:5" hidden="1">
      <c r="C125">
        <v>1995</v>
      </c>
      <c r="D125">
        <v>3.5799999999999998E-2</v>
      </c>
      <c r="E125">
        <v>4.7300000000000002E-2</v>
      </c>
    </row>
    <row r="126" spans="2:5" hidden="1">
      <c r="C126">
        <v>1996</v>
      </c>
      <c r="D126">
        <v>2.7199999999999998E-2</v>
      </c>
      <c r="E126">
        <v>4.2599999999999999E-2</v>
      </c>
    </row>
    <row r="127" spans="2:5" hidden="1">
      <c r="C127">
        <v>1997</v>
      </c>
      <c r="D127">
        <v>2.6800000000000001E-2</v>
      </c>
      <c r="E127">
        <v>4.2200000000000001E-2</v>
      </c>
    </row>
    <row r="128" spans="2:5" hidden="1">
      <c r="C128">
        <v>1998</v>
      </c>
      <c r="D128">
        <v>2.41E-2</v>
      </c>
      <c r="E128">
        <v>3.7900000000000003E-2</v>
      </c>
    </row>
    <row r="129" spans="2:5" hidden="1">
      <c r="C129">
        <v>1999</v>
      </c>
      <c r="D129">
        <v>2.1600000000000001E-2</v>
      </c>
      <c r="E129">
        <v>3.3700000000000001E-2</v>
      </c>
    </row>
    <row r="130" spans="2:5" hidden="1">
      <c r="C130">
        <v>2000</v>
      </c>
      <c r="D130">
        <v>1.78E-2</v>
      </c>
      <c r="E130">
        <v>2.7300000000000001E-2</v>
      </c>
    </row>
    <row r="131" spans="2:5" hidden="1">
      <c r="C131">
        <v>2001</v>
      </c>
      <c r="D131">
        <v>1.0999999999999999E-2</v>
      </c>
      <c r="E131">
        <v>1.5800000000000002E-2</v>
      </c>
    </row>
    <row r="132" spans="2:5" hidden="1">
      <c r="C132">
        <v>2002</v>
      </c>
      <c r="D132">
        <v>1.0699999999999999E-2</v>
      </c>
      <c r="E132">
        <v>1.5299999999999999E-2</v>
      </c>
    </row>
    <row r="133" spans="2:5" hidden="1">
      <c r="C133">
        <v>2003</v>
      </c>
      <c r="D133">
        <v>1.15E-2</v>
      </c>
      <c r="E133">
        <v>1.3299999999999999E-2</v>
      </c>
    </row>
    <row r="134" spans="2:5" hidden="1">
      <c r="C134">
        <v>2004</v>
      </c>
      <c r="D134">
        <v>1.5699999999999999E-2</v>
      </c>
      <c r="E134">
        <v>6.3E-3</v>
      </c>
    </row>
    <row r="135" spans="2:5" hidden="1">
      <c r="C135">
        <v>2005</v>
      </c>
      <c r="D135">
        <v>1.6400000000000001E-2</v>
      </c>
      <c r="E135">
        <v>5.1000000000000004E-3</v>
      </c>
    </row>
    <row r="136" spans="2:5" hidden="1">
      <c r="C136">
        <v>2006</v>
      </c>
      <c r="D136">
        <v>1.61E-2</v>
      </c>
      <c r="E136">
        <v>5.7000000000000002E-3</v>
      </c>
    </row>
    <row r="137" spans="2:5" hidden="1">
      <c r="C137">
        <v>2007</v>
      </c>
      <c r="D137">
        <v>1.7000000000000001E-2</v>
      </c>
      <c r="E137">
        <v>4.1000000000000003E-3</v>
      </c>
    </row>
    <row r="138" spans="2:5" hidden="1">
      <c r="C138">
        <v>2008</v>
      </c>
      <c r="D138">
        <v>1.72E-2</v>
      </c>
      <c r="E138">
        <v>3.8E-3</v>
      </c>
    </row>
    <row r="139" spans="2:5" hidden="1">
      <c r="C139" t="s">
        <v>214</v>
      </c>
      <c r="D139">
        <v>1.7299999999999999E-2</v>
      </c>
      <c r="E139">
        <v>3.5999999999999999E-3</v>
      </c>
    </row>
    <row r="140" spans="2:5" hidden="1">
      <c r="B140" t="s">
        <v>215</v>
      </c>
      <c r="C140" t="s">
        <v>210</v>
      </c>
      <c r="D140">
        <v>0.1908</v>
      </c>
      <c r="E140">
        <v>2.18E-2</v>
      </c>
    </row>
    <row r="141" spans="2:5" hidden="1">
      <c r="B141" t="s">
        <v>216</v>
      </c>
      <c r="C141">
        <v>1975</v>
      </c>
      <c r="D141">
        <v>0.16339999999999999</v>
      </c>
      <c r="E141">
        <v>5.1299999999999998E-2</v>
      </c>
    </row>
    <row r="142" spans="2:5" hidden="1">
      <c r="C142">
        <v>1976</v>
      </c>
      <c r="D142">
        <v>0.15939999999999999</v>
      </c>
      <c r="E142">
        <v>5.5500000000000001E-2</v>
      </c>
    </row>
    <row r="143" spans="2:5" hidden="1">
      <c r="C143" t="s">
        <v>217</v>
      </c>
      <c r="D143">
        <v>0.16139999999999999</v>
      </c>
      <c r="E143">
        <v>5.3400000000000003E-2</v>
      </c>
    </row>
    <row r="144" spans="2:5" hidden="1">
      <c r="C144" t="s">
        <v>218</v>
      </c>
      <c r="D144">
        <v>0.15939999999999999</v>
      </c>
      <c r="E144">
        <v>5.5500000000000001E-2</v>
      </c>
    </row>
    <row r="145" spans="3:5" hidden="1">
      <c r="C145">
        <v>1981</v>
      </c>
      <c r="D145">
        <v>0.1479</v>
      </c>
      <c r="E145">
        <v>6.6000000000000003E-2</v>
      </c>
    </row>
    <row r="146" spans="3:5" hidden="1">
      <c r="C146">
        <v>1982</v>
      </c>
      <c r="D146">
        <v>0.14419999999999999</v>
      </c>
      <c r="E146">
        <v>6.8099999999999994E-2</v>
      </c>
    </row>
    <row r="147" spans="3:5" hidden="1">
      <c r="C147">
        <v>1983</v>
      </c>
      <c r="D147">
        <v>0.1368</v>
      </c>
      <c r="E147">
        <v>7.22E-2</v>
      </c>
    </row>
    <row r="148" spans="3:5" hidden="1">
      <c r="C148">
        <v>1984</v>
      </c>
      <c r="D148">
        <v>0.12939999999999999</v>
      </c>
      <c r="E148">
        <v>7.6399999999999996E-2</v>
      </c>
    </row>
    <row r="149" spans="3:5" hidden="1">
      <c r="C149">
        <v>1985</v>
      </c>
      <c r="D149">
        <v>0.122</v>
      </c>
      <c r="E149">
        <v>8.0600000000000005E-2</v>
      </c>
    </row>
    <row r="150" spans="3:5" hidden="1">
      <c r="C150">
        <v>1986</v>
      </c>
      <c r="D150">
        <v>0.11459999999999999</v>
      </c>
      <c r="E150">
        <v>8.48E-2</v>
      </c>
    </row>
    <row r="151" spans="3:5" hidden="1">
      <c r="C151" t="s">
        <v>219</v>
      </c>
      <c r="D151">
        <v>8.1299999999999997E-2</v>
      </c>
      <c r="E151">
        <v>0.10349999999999999</v>
      </c>
    </row>
    <row r="152" spans="3:5" hidden="1">
      <c r="C152">
        <v>1994</v>
      </c>
      <c r="D152">
        <v>6.4600000000000005E-2</v>
      </c>
      <c r="E152">
        <v>9.8199999999999996E-2</v>
      </c>
    </row>
    <row r="153" spans="3:5" hidden="1">
      <c r="C153">
        <v>1995</v>
      </c>
      <c r="D153">
        <v>5.1700000000000003E-2</v>
      </c>
      <c r="E153">
        <v>9.0800000000000006E-2</v>
      </c>
    </row>
    <row r="154" spans="3:5" hidden="1">
      <c r="C154">
        <v>1996</v>
      </c>
      <c r="D154">
        <v>4.5199999999999997E-2</v>
      </c>
      <c r="E154">
        <v>8.7099999999999997E-2</v>
      </c>
    </row>
    <row r="155" spans="3:5" hidden="1">
      <c r="C155">
        <v>1997</v>
      </c>
      <c r="D155">
        <v>4.5199999999999997E-2</v>
      </c>
      <c r="E155">
        <v>8.7099999999999997E-2</v>
      </c>
    </row>
    <row r="156" spans="3:5" hidden="1">
      <c r="C156">
        <v>1998</v>
      </c>
      <c r="D156">
        <v>4.1200000000000001E-2</v>
      </c>
      <c r="E156">
        <v>7.7799999999999994E-2</v>
      </c>
    </row>
    <row r="157" spans="3:5" hidden="1">
      <c r="C157">
        <v>1999</v>
      </c>
      <c r="D157">
        <v>3.3300000000000003E-2</v>
      </c>
      <c r="E157">
        <v>5.9299999999999999E-2</v>
      </c>
    </row>
    <row r="158" spans="3:5" hidden="1">
      <c r="C158">
        <v>2000</v>
      </c>
      <c r="D158">
        <v>3.4000000000000002E-2</v>
      </c>
      <c r="E158">
        <v>6.0699999999999997E-2</v>
      </c>
    </row>
    <row r="159" spans="3:5" hidden="1">
      <c r="C159">
        <v>2001</v>
      </c>
      <c r="D159">
        <v>2.2100000000000002E-2</v>
      </c>
      <c r="E159">
        <v>3.2800000000000003E-2</v>
      </c>
    </row>
    <row r="160" spans="3:5" hidden="1">
      <c r="C160">
        <v>2002</v>
      </c>
      <c r="D160">
        <v>2.4199999999999999E-2</v>
      </c>
      <c r="E160">
        <v>3.78E-2</v>
      </c>
    </row>
    <row r="161" spans="2:5" hidden="1">
      <c r="C161">
        <v>2003</v>
      </c>
      <c r="D161">
        <v>2.2499999999999999E-2</v>
      </c>
      <c r="E161">
        <v>3.3000000000000002E-2</v>
      </c>
    </row>
    <row r="162" spans="2:5" hidden="1">
      <c r="C162">
        <v>2004</v>
      </c>
      <c r="D162">
        <v>1.6199999999999999E-2</v>
      </c>
      <c r="E162">
        <v>9.7999999999999997E-3</v>
      </c>
    </row>
    <row r="163" spans="2:5" hidden="1">
      <c r="C163">
        <v>2005</v>
      </c>
      <c r="D163">
        <v>1.6E-2</v>
      </c>
      <c r="E163">
        <v>8.0999999999999996E-3</v>
      </c>
    </row>
    <row r="164" spans="2:5" hidden="1">
      <c r="C164">
        <v>2006</v>
      </c>
      <c r="D164">
        <v>1.5900000000000001E-2</v>
      </c>
      <c r="E164">
        <v>8.8000000000000005E-3</v>
      </c>
    </row>
    <row r="165" spans="2:5" hidden="1">
      <c r="C165">
        <v>2007</v>
      </c>
      <c r="D165">
        <v>1.61E-2</v>
      </c>
      <c r="E165">
        <v>7.9000000000000008E-3</v>
      </c>
    </row>
    <row r="166" spans="2:5" hidden="1">
      <c r="C166" t="s">
        <v>220</v>
      </c>
      <c r="D166">
        <v>1.6299999999999999E-2</v>
      </c>
      <c r="E166">
        <v>6.6E-3</v>
      </c>
    </row>
    <row r="167" spans="2:5" hidden="1">
      <c r="B167" t="s">
        <v>221</v>
      </c>
      <c r="C167" t="s">
        <v>222</v>
      </c>
      <c r="D167">
        <v>0.46039999999999998</v>
      </c>
      <c r="E167">
        <v>4.9700000000000001E-2</v>
      </c>
    </row>
    <row r="168" spans="2:5" hidden="1">
      <c r="C168" t="s">
        <v>223</v>
      </c>
      <c r="D168">
        <v>0.44919999999999999</v>
      </c>
      <c r="E168">
        <v>5.3800000000000001E-2</v>
      </c>
    </row>
    <row r="169" spans="2:5" hidden="1">
      <c r="C169" t="s">
        <v>224</v>
      </c>
      <c r="D169">
        <v>0.40899999999999997</v>
      </c>
      <c r="E169">
        <v>5.1499999999999997E-2</v>
      </c>
    </row>
    <row r="170" spans="2:5" hidden="1">
      <c r="C170">
        <v>1987</v>
      </c>
      <c r="D170">
        <v>0.36749999999999999</v>
      </c>
      <c r="E170">
        <v>8.4900000000000003E-2</v>
      </c>
    </row>
    <row r="171" spans="2:5" hidden="1">
      <c r="C171" t="s">
        <v>225</v>
      </c>
      <c r="D171">
        <v>0.34920000000000001</v>
      </c>
      <c r="E171">
        <v>9.3299999999999994E-2</v>
      </c>
    </row>
    <row r="172" spans="2:5" hidden="1">
      <c r="C172" t="s">
        <v>226</v>
      </c>
      <c r="D172">
        <v>0.3246</v>
      </c>
      <c r="E172">
        <v>0.1142</v>
      </c>
    </row>
    <row r="173" spans="2:5" hidden="1">
      <c r="C173">
        <v>1996</v>
      </c>
      <c r="D173">
        <v>0.1278</v>
      </c>
      <c r="E173">
        <v>0.16800000000000001</v>
      </c>
    </row>
    <row r="174" spans="2:5" hidden="1">
      <c r="C174">
        <v>1997</v>
      </c>
      <c r="D174">
        <v>9.2399999999999996E-2</v>
      </c>
      <c r="E174">
        <v>0.1726</v>
      </c>
    </row>
    <row r="175" spans="2:5" hidden="1">
      <c r="C175">
        <v>1998</v>
      </c>
      <c r="D175">
        <v>6.5500000000000003E-2</v>
      </c>
      <c r="E175">
        <v>0.17499999999999999</v>
      </c>
    </row>
    <row r="176" spans="2:5" hidden="1">
      <c r="C176">
        <v>1999</v>
      </c>
      <c r="D176">
        <v>6.4799999999999996E-2</v>
      </c>
      <c r="E176">
        <v>0.17213999999999999</v>
      </c>
    </row>
    <row r="177" spans="2:5" hidden="1">
      <c r="C177">
        <v>2000</v>
      </c>
      <c r="D177">
        <v>6.3E-2</v>
      </c>
      <c r="E177">
        <v>0.16499</v>
      </c>
    </row>
    <row r="178" spans="2:5" hidden="1">
      <c r="C178">
        <v>2001</v>
      </c>
      <c r="D178">
        <v>5.7799999999999997E-2</v>
      </c>
      <c r="E178">
        <v>0.14353999999999997</v>
      </c>
    </row>
    <row r="179" spans="2:5" hidden="1">
      <c r="C179">
        <v>2002</v>
      </c>
      <c r="D179">
        <v>6.3399999999999998E-2</v>
      </c>
      <c r="E179">
        <v>0.16641999999999998</v>
      </c>
    </row>
    <row r="180" spans="2:5" hidden="1">
      <c r="C180">
        <v>2003</v>
      </c>
      <c r="D180">
        <v>6.0299999999999999E-2</v>
      </c>
      <c r="E180">
        <v>0.153364</v>
      </c>
    </row>
    <row r="181" spans="2:5" hidden="1">
      <c r="C181">
        <v>2004</v>
      </c>
      <c r="D181">
        <v>3.2300000000000002E-2</v>
      </c>
      <c r="E181">
        <v>1.9538E-2</v>
      </c>
    </row>
    <row r="182" spans="2:5" hidden="1">
      <c r="C182">
        <v>2005</v>
      </c>
      <c r="D182">
        <v>3.2899999999999999E-2</v>
      </c>
      <c r="E182">
        <v>1.619E-2</v>
      </c>
    </row>
    <row r="183" spans="2:5" hidden="1">
      <c r="C183">
        <v>2006</v>
      </c>
      <c r="D183">
        <v>3.1800000000000002E-2</v>
      </c>
      <c r="E183">
        <v>2.2700000000000001E-2</v>
      </c>
    </row>
    <row r="184" spans="2:5" hidden="1">
      <c r="C184">
        <v>2007</v>
      </c>
      <c r="D184">
        <v>3.3300000000000003E-2</v>
      </c>
      <c r="E184">
        <v>1.34E-2</v>
      </c>
    </row>
    <row r="185" spans="2:5" hidden="1">
      <c r="C185" t="s">
        <v>220</v>
      </c>
      <c r="D185">
        <v>3.3300000000000003E-2</v>
      </c>
      <c r="E185">
        <v>1.34E-2</v>
      </c>
    </row>
    <row r="186" spans="2:5" hidden="1">
      <c r="B186" t="s">
        <v>227</v>
      </c>
      <c r="C186" t="s">
        <v>228</v>
      </c>
      <c r="D186">
        <v>8.9899999999999994E-2</v>
      </c>
      <c r="E186">
        <v>8.6999999999999994E-3</v>
      </c>
    </row>
    <row r="187" spans="2:5" hidden="1">
      <c r="C187" t="s">
        <v>229</v>
      </c>
      <c r="D187">
        <v>6.7199999999999996E-2</v>
      </c>
      <c r="E187">
        <v>6.8999999999999999E-3</v>
      </c>
    </row>
    <row r="188" spans="2:5" hidden="1">
      <c r="B188" t="s">
        <v>230</v>
      </c>
    </row>
    <row r="189" spans="2:5" hidden="1"/>
    <row r="190" spans="2:5" hidden="1">
      <c r="B190" t="s">
        <v>231</v>
      </c>
    </row>
    <row r="191" spans="2:5" hidden="1"/>
    <row r="192" spans="2:5" hidden="1">
      <c r="B192" t="s">
        <v>205</v>
      </c>
      <c r="C192" t="s">
        <v>232</v>
      </c>
      <c r="D192" t="s">
        <v>207</v>
      </c>
      <c r="E192" t="s">
        <v>208</v>
      </c>
    </row>
    <row r="193" spans="2:18" hidden="1">
      <c r="B193" t="s">
        <v>233</v>
      </c>
      <c r="C193" t="s">
        <v>234</v>
      </c>
      <c r="D193">
        <v>5.9999999999999995E-4</v>
      </c>
      <c r="E193">
        <v>1.1999999999999999E-3</v>
      </c>
    </row>
    <row r="194" spans="2:18" hidden="1">
      <c r="C194" t="s">
        <v>235</v>
      </c>
      <c r="D194">
        <v>5.0000000000000001E-4</v>
      </c>
      <c r="E194">
        <v>1E-3</v>
      </c>
    </row>
    <row r="195" spans="2:18" hidden="1">
      <c r="C195" t="s">
        <v>229</v>
      </c>
      <c r="D195">
        <v>5.0000000000000001E-4</v>
      </c>
      <c r="E195">
        <v>1E-3</v>
      </c>
    </row>
    <row r="196" spans="2:18" hidden="1">
      <c r="B196" t="s">
        <v>236</v>
      </c>
      <c r="C196" t="s">
        <v>234</v>
      </c>
      <c r="D196">
        <v>1.1000000000000001E-3</v>
      </c>
      <c r="E196">
        <v>1.6999999999999999E-3</v>
      </c>
    </row>
    <row r="197" spans="2:18" hidden="1">
      <c r="C197" t="s">
        <v>235</v>
      </c>
      <c r="D197">
        <v>8.9999999999999998E-4</v>
      </c>
      <c r="E197">
        <v>1.4E-3</v>
      </c>
      <c r="G197" s="207"/>
      <c r="H197" s="207" t="s">
        <v>237</v>
      </c>
      <c r="I197" s="207" t="s">
        <v>238</v>
      </c>
      <c r="J197" s="207" t="s">
        <v>239</v>
      </c>
      <c r="K197" s="207"/>
      <c r="L197" s="207"/>
      <c r="M197" s="207"/>
    </row>
    <row r="198" spans="2:18" hidden="1">
      <c r="C198" t="s">
        <v>229</v>
      </c>
      <c r="D198">
        <v>1E-3</v>
      </c>
      <c r="E198">
        <v>1.5E-3</v>
      </c>
      <c r="G198" s="207" t="s">
        <v>240</v>
      </c>
      <c r="H198" s="207" t="s">
        <v>241</v>
      </c>
      <c r="I198" s="207" t="s">
        <v>242</v>
      </c>
      <c r="J198" s="207"/>
      <c r="K198" s="207"/>
      <c r="L198" s="207"/>
      <c r="M198" s="207" t="s">
        <v>243</v>
      </c>
      <c r="N198" s="207" t="s">
        <v>244</v>
      </c>
      <c r="O198" s="207" t="s">
        <v>245</v>
      </c>
      <c r="P198" s="207" t="s">
        <v>246</v>
      </c>
      <c r="Q198" s="207" t="s">
        <v>247</v>
      </c>
      <c r="R198" s="207" t="s">
        <v>248</v>
      </c>
    </row>
    <row r="199" spans="2:18" hidden="1">
      <c r="B199" t="s">
        <v>249</v>
      </c>
      <c r="C199" t="s">
        <v>250</v>
      </c>
      <c r="D199">
        <v>5.1000000000000004E-3</v>
      </c>
      <c r="E199">
        <v>4.7999999999999996E-3</v>
      </c>
      <c r="G199" t="s">
        <v>209</v>
      </c>
      <c r="H199">
        <v>22.5</v>
      </c>
      <c r="J199" t="s">
        <v>251</v>
      </c>
      <c r="M199" t="s">
        <v>252</v>
      </c>
      <c r="N199" t="s">
        <v>253</v>
      </c>
      <c r="O199" t="s">
        <v>99</v>
      </c>
      <c r="Q199">
        <v>1.73E-5</v>
      </c>
      <c r="R199">
        <v>3.5999999999999998E-6</v>
      </c>
    </row>
    <row r="200" spans="2:18" hidden="1">
      <c r="B200" t="s">
        <v>254</v>
      </c>
      <c r="D200">
        <v>0.73699999999999999</v>
      </c>
      <c r="E200">
        <v>0.05</v>
      </c>
      <c r="G200" t="s">
        <v>255</v>
      </c>
      <c r="H200">
        <v>16.2</v>
      </c>
      <c r="J200" t="s">
        <v>256</v>
      </c>
      <c r="M200" t="s">
        <v>252</v>
      </c>
      <c r="N200" t="s">
        <v>257</v>
      </c>
      <c r="O200" t="s">
        <v>99</v>
      </c>
      <c r="Q200">
        <v>1.63E-5</v>
      </c>
      <c r="R200">
        <v>6.6000000000000003E-6</v>
      </c>
    </row>
    <row r="201" spans="2:18" hidden="1">
      <c r="B201" t="s">
        <v>258</v>
      </c>
      <c r="D201">
        <v>1.966</v>
      </c>
      <c r="E201">
        <v>0.17499999999999999</v>
      </c>
      <c r="G201" t="s">
        <v>259</v>
      </c>
      <c r="H201">
        <v>8.8000000000000007</v>
      </c>
      <c r="J201" t="s">
        <v>260</v>
      </c>
      <c r="M201" t="s">
        <v>252</v>
      </c>
      <c r="N201" t="s">
        <v>261</v>
      </c>
      <c r="O201" t="s">
        <v>99</v>
      </c>
      <c r="Q201">
        <v>3.3300000000000003E-5</v>
      </c>
      <c r="R201">
        <v>1.34E-5</v>
      </c>
    </row>
    <row r="202" spans="2:18" hidden="1">
      <c r="B202" t="s">
        <v>262</v>
      </c>
      <c r="D202">
        <v>1.966</v>
      </c>
      <c r="E202">
        <v>0.17499999999999999</v>
      </c>
      <c r="G202" t="s">
        <v>233</v>
      </c>
      <c r="H202">
        <v>22.5</v>
      </c>
      <c r="J202" t="s">
        <v>263</v>
      </c>
      <c r="M202" t="s">
        <v>264</v>
      </c>
      <c r="N202" t="s">
        <v>265</v>
      </c>
      <c r="O202" t="s">
        <v>99</v>
      </c>
      <c r="Q202">
        <v>4.9999999999999998E-7</v>
      </c>
      <c r="R202">
        <v>9.9999999999999995E-7</v>
      </c>
    </row>
    <row r="203" spans="2:18" hidden="1">
      <c r="B203" t="s">
        <v>266</v>
      </c>
      <c r="D203">
        <v>3.6999999999999998E-2</v>
      </c>
      <c r="E203">
        <v>6.7000000000000004E-2</v>
      </c>
      <c r="G203" t="s">
        <v>267</v>
      </c>
      <c r="H203">
        <v>16.2</v>
      </c>
      <c r="J203" t="s">
        <v>263</v>
      </c>
      <c r="M203" t="s">
        <v>264</v>
      </c>
      <c r="N203" t="s">
        <v>268</v>
      </c>
      <c r="O203" t="s">
        <v>99</v>
      </c>
      <c r="Q203">
        <v>9.9999999999999995E-7</v>
      </c>
      <c r="R203">
        <v>1.5E-6</v>
      </c>
    </row>
    <row r="204" spans="2:18" hidden="1">
      <c r="B204" t="s">
        <v>269</v>
      </c>
      <c r="D204">
        <v>6.6000000000000003E-2</v>
      </c>
      <c r="E204">
        <v>0.17499999999999999</v>
      </c>
      <c r="G204" t="s">
        <v>270</v>
      </c>
      <c r="H204">
        <v>8.8000000000000007</v>
      </c>
      <c r="J204" t="s">
        <v>271</v>
      </c>
      <c r="M204" t="s">
        <v>264</v>
      </c>
      <c r="N204" t="s">
        <v>272</v>
      </c>
      <c r="O204" t="s">
        <v>99</v>
      </c>
      <c r="Q204">
        <v>5.1000000000000003E-6</v>
      </c>
      <c r="R204">
        <v>4.7999999999999998E-6</v>
      </c>
    </row>
    <row r="205" spans="2:18" hidden="1">
      <c r="B205" t="s">
        <v>273</v>
      </c>
      <c r="D205">
        <v>1.966</v>
      </c>
      <c r="E205">
        <v>0.17499999999999999</v>
      </c>
      <c r="G205" t="s">
        <v>274</v>
      </c>
      <c r="H205">
        <v>22.5</v>
      </c>
      <c r="M205" t="s">
        <v>275</v>
      </c>
      <c r="N205" t="s">
        <v>276</v>
      </c>
      <c r="O205" t="s">
        <v>99</v>
      </c>
      <c r="Q205">
        <v>4.9999999999999998E-7</v>
      </c>
      <c r="R205">
        <v>9.9999999999999995E-7</v>
      </c>
    </row>
    <row r="206" spans="2:18" hidden="1">
      <c r="B206" t="s">
        <v>277</v>
      </c>
      <c r="D206">
        <v>5.5E-2</v>
      </c>
      <c r="E206">
        <v>6.7000000000000004E-2</v>
      </c>
      <c r="G206" t="s">
        <v>278</v>
      </c>
      <c r="H206">
        <v>16.2</v>
      </c>
      <c r="M206" t="s">
        <v>275</v>
      </c>
      <c r="N206" t="s">
        <v>278</v>
      </c>
      <c r="O206" t="s">
        <v>99</v>
      </c>
      <c r="Q206">
        <v>4.9999999999999998E-7</v>
      </c>
      <c r="R206">
        <v>9.9999999999999995E-7</v>
      </c>
    </row>
    <row r="207" spans="2:18" hidden="1">
      <c r="B207" t="s">
        <v>279</v>
      </c>
      <c r="D207">
        <v>0.19700000000000001</v>
      </c>
      <c r="E207">
        <v>0.17499999999999999</v>
      </c>
      <c r="G207" t="s">
        <v>280</v>
      </c>
      <c r="H207">
        <v>8.8000000000000007</v>
      </c>
      <c r="M207" t="s">
        <v>275</v>
      </c>
      <c r="N207" t="s">
        <v>280</v>
      </c>
      <c r="O207" t="s">
        <v>99</v>
      </c>
      <c r="Q207">
        <v>5.0000000000000004E-6</v>
      </c>
      <c r="R207">
        <v>5.0000000000000004E-6</v>
      </c>
    </row>
    <row r="208" spans="2:18" hidden="1">
      <c r="B208" t="s">
        <v>281</v>
      </c>
      <c r="D208">
        <v>0.19700000000000001</v>
      </c>
      <c r="E208">
        <v>0.17499999999999999</v>
      </c>
      <c r="G208" t="s">
        <v>282</v>
      </c>
      <c r="H208">
        <v>16.2</v>
      </c>
      <c r="M208" t="s">
        <v>283</v>
      </c>
      <c r="N208" t="s">
        <v>282</v>
      </c>
      <c r="O208" t="s">
        <v>99</v>
      </c>
      <c r="Q208">
        <v>7.3700000000000002E-4</v>
      </c>
      <c r="R208">
        <v>5.0000000000000002E-5</v>
      </c>
    </row>
    <row r="209" spans="2:18" hidden="1">
      <c r="B209" t="s">
        <v>276</v>
      </c>
      <c r="D209">
        <v>5.0000000000000001E-4</v>
      </c>
      <c r="E209">
        <v>1E-3</v>
      </c>
      <c r="G209" t="s">
        <v>284</v>
      </c>
      <c r="H209">
        <v>8.8000000000000007</v>
      </c>
      <c r="J209" t="s">
        <v>285</v>
      </c>
      <c r="M209" t="s">
        <v>283</v>
      </c>
      <c r="N209" t="s">
        <v>284</v>
      </c>
      <c r="O209" t="s">
        <v>99</v>
      </c>
      <c r="Q209">
        <v>1.9659999999999999E-3</v>
      </c>
      <c r="R209">
        <v>1.75E-4</v>
      </c>
    </row>
    <row r="210" spans="2:18" hidden="1">
      <c r="B210" t="s">
        <v>286</v>
      </c>
      <c r="D210">
        <v>5.0000000000000001E-3</v>
      </c>
      <c r="E210">
        <v>5.0000000000000001E-3</v>
      </c>
      <c r="G210" t="s">
        <v>287</v>
      </c>
      <c r="H210">
        <v>16.2</v>
      </c>
      <c r="M210" t="s">
        <v>288</v>
      </c>
      <c r="N210" t="s">
        <v>287</v>
      </c>
      <c r="O210" t="s">
        <v>99</v>
      </c>
      <c r="Q210">
        <v>5.5000000000000002E-5</v>
      </c>
      <c r="R210">
        <v>6.7000000000000002E-5</v>
      </c>
    </row>
    <row r="211" spans="2:18" hidden="1">
      <c r="B211" t="s">
        <v>289</v>
      </c>
      <c r="D211">
        <v>5.0000000000000001E-3</v>
      </c>
      <c r="E211">
        <v>5.0000000000000001E-3</v>
      </c>
      <c r="G211" t="s">
        <v>290</v>
      </c>
      <c r="H211">
        <v>8.8000000000000007</v>
      </c>
      <c r="M211" t="s">
        <v>288</v>
      </c>
      <c r="N211" t="s">
        <v>290</v>
      </c>
      <c r="O211" t="s">
        <v>99</v>
      </c>
      <c r="Q211">
        <v>1.9700000000000002E-4</v>
      </c>
      <c r="R211">
        <v>1.75E-4</v>
      </c>
    </row>
    <row r="212" spans="2:18" hidden="1">
      <c r="B212" t="s">
        <v>230</v>
      </c>
      <c r="G212" t="s">
        <v>291</v>
      </c>
      <c r="H212">
        <v>31.159600999999999</v>
      </c>
      <c r="J212" t="s">
        <v>292</v>
      </c>
      <c r="M212" t="s">
        <v>252</v>
      </c>
      <c r="N212" t="s">
        <v>253</v>
      </c>
      <c r="O212" t="s">
        <v>99</v>
      </c>
      <c r="Q212">
        <v>1.73E-5</v>
      </c>
      <c r="R212">
        <v>3.5999999999999998E-6</v>
      </c>
    </row>
    <row r="213" spans="2:18" hidden="1">
      <c r="G213" t="s">
        <v>293</v>
      </c>
      <c r="M213" t="s">
        <v>252</v>
      </c>
      <c r="N213" t="s">
        <v>294</v>
      </c>
      <c r="O213" t="s">
        <v>102</v>
      </c>
      <c r="Q213">
        <v>1.2600000000000001E-3</v>
      </c>
      <c r="R213">
        <v>2.2000000000000001E-4</v>
      </c>
    </row>
    <row r="214" spans="2:18" hidden="1">
      <c r="B214" t="s">
        <v>295</v>
      </c>
      <c r="G214" t="s">
        <v>296</v>
      </c>
      <c r="M214" t="s">
        <v>264</v>
      </c>
      <c r="N214" t="s">
        <v>297</v>
      </c>
      <c r="O214" t="s">
        <v>102</v>
      </c>
      <c r="Q214">
        <v>1.4399999999999999E-3</v>
      </c>
      <c r="R214">
        <v>2.6000000000000003E-4</v>
      </c>
    </row>
    <row r="215" spans="2:18" hidden="1">
      <c r="G215" t="s">
        <v>298</v>
      </c>
      <c r="M215" t="s">
        <v>252</v>
      </c>
      <c r="N215" t="s">
        <v>298</v>
      </c>
      <c r="O215" t="s">
        <v>102</v>
      </c>
      <c r="Q215">
        <v>6.4000000000000005E-4</v>
      </c>
      <c r="R215">
        <v>2.2000000000000001E-4</v>
      </c>
    </row>
    <row r="216" spans="2:18" hidden="1">
      <c r="B216" t="s">
        <v>205</v>
      </c>
      <c r="C216" t="s">
        <v>299</v>
      </c>
      <c r="D216" t="s">
        <v>300</v>
      </c>
      <c r="G216" t="s">
        <v>301</v>
      </c>
      <c r="M216" t="s">
        <v>264</v>
      </c>
      <c r="N216" t="s">
        <v>301</v>
      </c>
      <c r="O216" t="s">
        <v>102</v>
      </c>
      <c r="Q216">
        <v>5.9999999999999995E-5</v>
      </c>
      <c r="R216">
        <v>4.4999999999999999E-4</v>
      </c>
    </row>
    <row r="217" spans="2:18" hidden="1">
      <c r="B217" t="s">
        <v>302</v>
      </c>
      <c r="C217">
        <v>0.11</v>
      </c>
      <c r="D217">
        <v>0.56999999999999995</v>
      </c>
      <c r="G217" t="s">
        <v>303</v>
      </c>
      <c r="M217" t="s">
        <v>304</v>
      </c>
      <c r="N217" t="s">
        <v>303</v>
      </c>
      <c r="O217" t="s">
        <v>102</v>
      </c>
      <c r="Q217">
        <v>0</v>
      </c>
      <c r="R217">
        <v>2.9999999999999997E-4</v>
      </c>
    </row>
    <row r="218" spans="2:18" hidden="1">
      <c r="B218" t="s">
        <v>298</v>
      </c>
      <c r="C218">
        <v>0.64</v>
      </c>
      <c r="D218">
        <v>0.22</v>
      </c>
      <c r="G218" t="s">
        <v>305</v>
      </c>
      <c r="M218" t="s">
        <v>306</v>
      </c>
      <c r="N218" t="s">
        <v>305</v>
      </c>
      <c r="O218" t="s">
        <v>102</v>
      </c>
      <c r="Q218">
        <v>7.0599999999999994E-3</v>
      </c>
      <c r="R218">
        <v>1.1E-4</v>
      </c>
    </row>
    <row r="219" spans="2:18" hidden="1">
      <c r="B219" t="s">
        <v>301</v>
      </c>
      <c r="C219">
        <v>0.06</v>
      </c>
      <c r="D219">
        <v>0.45</v>
      </c>
      <c r="G219" t="s">
        <v>227</v>
      </c>
      <c r="H219">
        <v>50</v>
      </c>
      <c r="M219" t="s">
        <v>252</v>
      </c>
      <c r="N219" t="s">
        <v>307</v>
      </c>
      <c r="O219" t="s">
        <v>99</v>
      </c>
      <c r="Q219">
        <v>6.7199999999999994E-5</v>
      </c>
      <c r="R219">
        <v>6.9E-6</v>
      </c>
    </row>
    <row r="220" spans="2:18" hidden="1">
      <c r="B220" t="s">
        <v>308</v>
      </c>
      <c r="C220">
        <v>0.8</v>
      </c>
      <c r="D220">
        <v>0.26</v>
      </c>
      <c r="G220" t="s">
        <v>309</v>
      </c>
      <c r="M220" t="s">
        <v>252</v>
      </c>
      <c r="N220" t="s">
        <v>309</v>
      </c>
      <c r="O220" t="s">
        <v>102</v>
      </c>
      <c r="Q220">
        <v>5.0000000000000001E-4</v>
      </c>
      <c r="R220">
        <v>2.2000000000000001E-4</v>
      </c>
    </row>
    <row r="221" spans="2:18" hidden="1">
      <c r="B221" t="s">
        <v>294</v>
      </c>
      <c r="C221">
        <v>1.26</v>
      </c>
      <c r="D221">
        <v>0.22</v>
      </c>
      <c r="G221" t="s">
        <v>310</v>
      </c>
      <c r="M221" t="s">
        <v>264</v>
      </c>
      <c r="N221" t="s">
        <v>310</v>
      </c>
      <c r="O221" t="s">
        <v>102</v>
      </c>
      <c r="Q221">
        <v>5.6999999999999998E-4</v>
      </c>
      <c r="R221">
        <v>2.6000000000000003E-4</v>
      </c>
    </row>
    <row r="222" spans="2:18" hidden="1">
      <c r="B222" t="s">
        <v>297</v>
      </c>
      <c r="C222">
        <v>1.44</v>
      </c>
      <c r="D222">
        <v>0.26</v>
      </c>
      <c r="G222" t="s">
        <v>280</v>
      </c>
      <c r="H222">
        <v>5.9</v>
      </c>
      <c r="J222" t="s">
        <v>311</v>
      </c>
      <c r="M222" t="s">
        <v>275</v>
      </c>
      <c r="N222" t="s">
        <v>280</v>
      </c>
      <c r="O222" t="s">
        <v>99</v>
      </c>
      <c r="Q222">
        <v>5.0000000000000004E-6</v>
      </c>
      <c r="R222">
        <v>5.0000000000000004E-6</v>
      </c>
    </row>
    <row r="223" spans="2:18" hidden="1">
      <c r="B223" t="s">
        <v>312</v>
      </c>
      <c r="C223">
        <v>0.5</v>
      </c>
      <c r="D223">
        <v>0.22</v>
      </c>
    </row>
    <row r="224" spans="2:18" hidden="1">
      <c r="B224" t="s">
        <v>313</v>
      </c>
      <c r="C224">
        <v>0.56999999999999995</v>
      </c>
      <c r="D224">
        <v>0.26</v>
      </c>
    </row>
    <row r="225" spans="2:23" hidden="1">
      <c r="B225" t="s">
        <v>303</v>
      </c>
      <c r="C225">
        <v>0</v>
      </c>
      <c r="D225">
        <v>0.3</v>
      </c>
    </row>
    <row r="226" spans="2:23" hidden="1">
      <c r="B226" t="s">
        <v>305</v>
      </c>
      <c r="C226">
        <v>7.06</v>
      </c>
      <c r="D226">
        <v>0.11</v>
      </c>
    </row>
    <row r="227" spans="2:23" hidden="1">
      <c r="B227" t="s">
        <v>309</v>
      </c>
      <c r="C227">
        <v>0.5</v>
      </c>
      <c r="D227">
        <v>0.22</v>
      </c>
    </row>
    <row r="228" spans="2:23" hidden="1">
      <c r="B228" t="s">
        <v>310</v>
      </c>
      <c r="C228">
        <v>0.56999999999999995</v>
      </c>
      <c r="D228">
        <v>0.26</v>
      </c>
    </row>
    <row r="229" spans="2:23" hidden="1">
      <c r="B229" t="s">
        <v>314</v>
      </c>
      <c r="C229">
        <v>0.5</v>
      </c>
      <c r="D229">
        <v>0.22</v>
      </c>
    </row>
    <row r="230" spans="2:23" hidden="1">
      <c r="B230" t="s">
        <v>315</v>
      </c>
      <c r="C230">
        <v>0.56999999999999995</v>
      </c>
      <c r="D230">
        <v>0.26</v>
      </c>
    </row>
    <row r="231" spans="2:23" hidden="1">
      <c r="B231" t="s">
        <v>316</v>
      </c>
    </row>
    <row r="232" spans="2:23" hidden="1">
      <c r="B232" t="s">
        <v>317</v>
      </c>
    </row>
    <row r="233" spans="2:23" hidden="1"/>
    <row r="234" spans="2:23" hidden="1">
      <c r="D234">
        <v>3</v>
      </c>
      <c r="E234">
        <v>4</v>
      </c>
      <c r="F234">
        <v>5</v>
      </c>
      <c r="G234">
        <v>6</v>
      </c>
      <c r="H234">
        <v>7</v>
      </c>
      <c r="I234">
        <v>8</v>
      </c>
      <c r="J234">
        <v>9</v>
      </c>
      <c r="K234">
        <v>10</v>
      </c>
      <c r="L234">
        <v>11</v>
      </c>
      <c r="M234">
        <v>12</v>
      </c>
      <c r="N234">
        <v>13</v>
      </c>
      <c r="O234">
        <v>14</v>
      </c>
    </row>
    <row r="235" spans="2:23" s="360" customFormat="1" ht="56.25">
      <c r="B235" s="357" t="s">
        <v>318</v>
      </c>
      <c r="C235" s="357" t="s">
        <v>319</v>
      </c>
      <c r="D235" s="357" t="s">
        <v>320</v>
      </c>
      <c r="E235" s="357" t="s">
        <v>321</v>
      </c>
      <c r="F235" s="357" t="s">
        <v>322</v>
      </c>
      <c r="G235" s="357" t="s">
        <v>323</v>
      </c>
      <c r="H235" s="357" t="s">
        <v>109</v>
      </c>
      <c r="I235" s="357" t="s">
        <v>110</v>
      </c>
      <c r="J235" s="357" t="s">
        <v>324</v>
      </c>
      <c r="K235" s="357" t="s">
        <v>112</v>
      </c>
      <c r="L235" s="451" t="s">
        <v>237</v>
      </c>
      <c r="M235" s="357" t="s">
        <v>325</v>
      </c>
      <c r="N235" s="357" t="s">
        <v>326</v>
      </c>
      <c r="O235" s="357" t="s">
        <v>327</v>
      </c>
      <c r="W235"/>
    </row>
    <row r="236" spans="2:23">
      <c r="B236" s="362"/>
      <c r="C236" s="362"/>
      <c r="D236" s="362"/>
      <c r="E236" s="362"/>
      <c r="F236" s="362"/>
      <c r="G236" s="362"/>
      <c r="H236" s="362"/>
      <c r="I236" s="362"/>
      <c r="J236" s="362"/>
      <c r="K236" s="362"/>
      <c r="L236" s="475"/>
      <c r="M236" s="362"/>
      <c r="N236" s="362"/>
      <c r="O236" s="362"/>
    </row>
    <row r="237" spans="2:23" ht="30">
      <c r="B237" s="359" t="s">
        <v>328</v>
      </c>
      <c r="C237" s="362"/>
      <c r="D237" s="359">
        <v>0</v>
      </c>
      <c r="E237" s="359">
        <v>0</v>
      </c>
      <c r="F237" s="359">
        <v>0</v>
      </c>
      <c r="G237" s="362"/>
      <c r="H237" s="359">
        <f>(Mobile_S1_EF[[#This Row],[CO2 Factor
(kg / unit)]]*Data!$AI$5)+(Mobile_S1_EF[[#This Row],[CH4 Factor
(kg / unit)]]*Data!$AI$6)+(Mobile_S1_EF[[#This Row],[N2O Factor
(kg / unit)]]*Data!$AI$7)</f>
        <v>0</v>
      </c>
      <c r="I237" s="359">
        <f>(Mobile_S1_EF[[#This Row],[CO2 Factor
(kg / unit)]]*Data!$AJ$5)+(Mobile_S1_EF[[#This Row],[CH4 Factor
(kg / unit)]]*Data!$AJ$6)+(Mobile_S1_EF[[#This Row],[N2O Factor
(kg / unit)]]*Data!$AJ$7)</f>
        <v>0</v>
      </c>
      <c r="J237" s="359" t="s">
        <v>101</v>
      </c>
      <c r="K237" s="841" t="s">
        <v>329</v>
      </c>
      <c r="L237" s="475"/>
      <c r="M237" s="361" t="s">
        <v>99</v>
      </c>
      <c r="N237" s="359">
        <v>0</v>
      </c>
      <c r="O237" s="359">
        <v>0</v>
      </c>
    </row>
    <row r="238" spans="2:23" ht="30">
      <c r="B238" s="359" t="s">
        <v>330</v>
      </c>
      <c r="C238" s="362"/>
      <c r="D238" s="359">
        <v>8.7799999999999994</v>
      </c>
      <c r="E238" s="359">
        <v>3.8925E-4</v>
      </c>
      <c r="F238" s="359">
        <v>8.099999999999999E-5</v>
      </c>
      <c r="G238" s="362"/>
      <c r="H238" s="359">
        <f>(Mobile_S1_EF[[#This Row],[CO2 Factor
(kg / unit)]]*Data!$AI$5)+(Mobile_S1_EF[[#This Row],[CH4 Factor
(kg / unit)]]*Data!$AI$6)+(Mobile_S1_EF[[#This Row],[N2O Factor
(kg / unit)]]*Data!$AI$7)</f>
        <v>8.8129730749999986</v>
      </c>
      <c r="I238" s="359">
        <f>(Mobile_S1_EF[[#This Row],[CO2 Factor
(kg / unit)]]*Data!$AJ$5)+(Mobile_S1_EF[[#This Row],[CH4 Factor
(kg / unit)]]*Data!$AJ$6)+(Mobile_S1_EF[[#This Row],[N2O Factor
(kg / unit)]]*Data!$AJ$7)</f>
        <v>8.8123639999999988</v>
      </c>
      <c r="J238" s="359" t="s">
        <v>102</v>
      </c>
      <c r="K238" s="841" t="s">
        <v>329</v>
      </c>
      <c r="L238" s="473">
        <v>22.5</v>
      </c>
      <c r="M238" s="359" t="s">
        <v>99</v>
      </c>
      <c r="N238" s="359">
        <v>1.73E-5</v>
      </c>
      <c r="O238" s="359">
        <v>3.5999999999999998E-6</v>
      </c>
    </row>
    <row r="239" spans="2:23" ht="30">
      <c r="B239" s="359" t="s">
        <v>331</v>
      </c>
      <c r="C239" s="362"/>
      <c r="D239" s="359">
        <v>8.7799999999999994</v>
      </c>
      <c r="E239" s="359">
        <v>2.6405999999999999E-4</v>
      </c>
      <c r="F239" s="359">
        <v>1.0692E-4</v>
      </c>
      <c r="G239" s="362"/>
      <c r="H239" s="359">
        <f>(Mobile_S1_EF[[#This Row],[CO2 Factor
(kg / unit)]]*Data!$AI$5)+(Mobile_S1_EF[[#This Row],[CH4 Factor
(kg / unit)]]*Data!$AI$6)+(Mobile_S1_EF[[#This Row],[N2O Factor
(kg / unit)]]*Data!$AI$7)</f>
        <v>8.8165564339999989</v>
      </c>
      <c r="I239" s="359">
        <f>(Mobile_S1_EF[[#This Row],[CO2 Factor
(kg / unit)]]*Data!$AJ$5)+(Mobile_S1_EF[[#This Row],[CH4 Factor
(kg / unit)]]*Data!$AJ$6)+(Mobile_S1_EF[[#This Row],[N2O Factor
(kg / unit)]]*Data!$AJ$7)</f>
        <v>8.8157274799999996</v>
      </c>
      <c r="J239" s="359" t="s">
        <v>102</v>
      </c>
      <c r="K239" s="841" t="s">
        <v>329</v>
      </c>
      <c r="L239" s="473">
        <v>16.2</v>
      </c>
      <c r="M239" s="359" t="s">
        <v>99</v>
      </c>
      <c r="N239" s="359">
        <v>1.63E-5</v>
      </c>
      <c r="O239" s="359">
        <v>6.6000000000000003E-6</v>
      </c>
    </row>
    <row r="240" spans="2:23" ht="30">
      <c r="B240" s="359" t="s">
        <v>332</v>
      </c>
      <c r="C240" s="362"/>
      <c r="D240" s="359">
        <v>8.7799999999999994</v>
      </c>
      <c r="E240" s="359">
        <v>2.9304000000000005E-4</v>
      </c>
      <c r="F240" s="359">
        <v>1.1792000000000001E-4</v>
      </c>
      <c r="G240" s="362"/>
      <c r="H240" s="359">
        <f>(Mobile_S1_EF[[#This Row],[CO2 Factor
(kg / unit)]]*Data!$AI$5)+(Mobile_S1_EF[[#This Row],[CH4 Factor
(kg / unit)]]*Data!$AI$6)+(Mobile_S1_EF[[#This Row],[N2O Factor
(kg / unit)]]*Data!$AI$7)</f>
        <v>8.8203679759999982</v>
      </c>
      <c r="I240" s="359">
        <f>(Mobile_S1_EF[[#This Row],[CO2 Factor
(kg / unit)]]*Data!$AJ$5)+(Mobile_S1_EF[[#This Row],[CH4 Factor
(kg / unit)]]*Data!$AJ$6)+(Mobile_S1_EF[[#This Row],[N2O Factor
(kg / unit)]]*Data!$AJ$7)</f>
        <v>8.8194539199999991</v>
      </c>
      <c r="J240" s="359" t="s">
        <v>102</v>
      </c>
      <c r="K240" s="841" t="s">
        <v>329</v>
      </c>
      <c r="L240" s="473">
        <v>8.8000000000000007</v>
      </c>
      <c r="M240" s="359" t="s">
        <v>99</v>
      </c>
      <c r="N240" s="359">
        <v>3.3300000000000003E-5</v>
      </c>
      <c r="O240" s="359">
        <v>1.34E-5</v>
      </c>
    </row>
    <row r="241" spans="2:15" ht="30">
      <c r="B241" s="359" t="s">
        <v>333</v>
      </c>
      <c r="C241" s="362"/>
      <c r="D241" s="359">
        <v>10.210000000000001</v>
      </c>
      <c r="E241" s="359">
        <v>1.1249999999999999E-5</v>
      </c>
      <c r="F241" s="359">
        <v>2.2499999999999998E-5</v>
      </c>
      <c r="G241" s="362"/>
      <c r="H241" s="359">
        <f>(Mobile_S1_EF[[#This Row],[CO2 Factor
(kg / unit)]]*Data!$AI$5)+(Mobile_S1_EF[[#This Row],[CH4 Factor
(kg / unit)]]*Data!$AI$6)+(Mobile_S1_EF[[#This Row],[N2O Factor
(kg / unit)]]*Data!$AI$7)</f>
        <v>10.216456375</v>
      </c>
      <c r="I241" s="359">
        <f>(Mobile_S1_EF[[#This Row],[CO2 Factor
(kg / unit)]]*Data!$AJ$5)+(Mobile_S1_EF[[#This Row],[CH4 Factor
(kg / unit)]]*Data!$AJ$6)+(Mobile_S1_EF[[#This Row],[N2O Factor
(kg / unit)]]*Data!$AJ$7)</f>
        <v>10.216277500000002</v>
      </c>
      <c r="J241" s="359" t="s">
        <v>102</v>
      </c>
      <c r="K241" s="841" t="s">
        <v>329</v>
      </c>
      <c r="L241" s="473">
        <v>22.5</v>
      </c>
      <c r="M241" s="359" t="s">
        <v>99</v>
      </c>
      <c r="N241" s="359">
        <v>4.9999999999999998E-7</v>
      </c>
      <c r="O241" s="359">
        <v>9.9999999999999995E-7</v>
      </c>
    </row>
    <row r="242" spans="2:15" ht="30">
      <c r="B242" s="359" t="s">
        <v>334</v>
      </c>
      <c r="C242" s="362"/>
      <c r="D242" s="359">
        <v>10.210000000000001</v>
      </c>
      <c r="E242" s="359">
        <v>1.6199999999999997E-5</v>
      </c>
      <c r="F242" s="359">
        <v>2.4300000000000001E-5</v>
      </c>
      <c r="G242" s="362"/>
      <c r="H242" s="359">
        <f>(Mobile_S1_EF[[#This Row],[CO2 Factor
(kg / unit)]]*Data!$AI$5)+(Mobile_S1_EF[[#This Row],[CH4 Factor
(kg / unit)]]*Data!$AI$6)+(Mobile_S1_EF[[#This Row],[N2O Factor
(kg / unit)]]*Data!$AI$7)</f>
        <v>10.217085880000001</v>
      </c>
      <c r="I242" s="359">
        <f>(Mobile_S1_EF[[#This Row],[CO2 Factor
(kg / unit)]]*Data!$AJ$5)+(Mobile_S1_EF[[#This Row],[CH4 Factor
(kg / unit)]]*Data!$AJ$6)+(Mobile_S1_EF[[#This Row],[N2O Factor
(kg / unit)]]*Data!$AJ$7)</f>
        <v>10.216893100000002</v>
      </c>
      <c r="J242" s="359" t="s">
        <v>102</v>
      </c>
      <c r="K242" s="841" t="s">
        <v>329</v>
      </c>
      <c r="L242" s="473">
        <v>16.2</v>
      </c>
      <c r="M242" s="359" t="s">
        <v>99</v>
      </c>
      <c r="N242" s="359">
        <v>9.9999999999999995E-7</v>
      </c>
      <c r="O242" s="359">
        <v>1.5E-6</v>
      </c>
    </row>
    <row r="243" spans="2:15" ht="30">
      <c r="B243" s="359" t="s">
        <v>335</v>
      </c>
      <c r="C243" s="362"/>
      <c r="D243" s="359">
        <v>10.210000000000001</v>
      </c>
      <c r="E243" s="359">
        <v>4.4880000000000004E-5</v>
      </c>
      <c r="F243" s="359">
        <v>4.2240000000000002E-5</v>
      </c>
      <c r="G243" s="362"/>
      <c r="H243" s="359">
        <f>(Mobile_S1_EF[[#This Row],[CO2 Factor
(kg / unit)]]*Data!$AI$5)+(Mobile_S1_EF[[#This Row],[CH4 Factor
(kg / unit)]]*Data!$AI$6)+(Mobile_S1_EF[[#This Row],[N2O Factor
(kg / unit)]]*Data!$AI$7)</f>
        <v>10.222783672</v>
      </c>
      <c r="I243" s="359">
        <f>(Mobile_S1_EF[[#This Row],[CO2 Factor
(kg / unit)]]*Data!$AJ$5)+(Mobile_S1_EF[[#This Row],[CH4 Factor
(kg / unit)]]*Data!$AJ$6)+(Mobile_S1_EF[[#This Row],[N2O Factor
(kg / unit)]]*Data!$AJ$7)</f>
        <v>10.222450240000001</v>
      </c>
      <c r="J243" s="359" t="s">
        <v>102</v>
      </c>
      <c r="K243" s="841" t="s">
        <v>329</v>
      </c>
      <c r="L243" s="473">
        <v>8.8000000000000007</v>
      </c>
      <c r="M243" s="359" t="s">
        <v>99</v>
      </c>
      <c r="N243" s="359">
        <v>5.1000000000000003E-6</v>
      </c>
      <c r="O243" s="359">
        <v>4.7999999999999998E-6</v>
      </c>
    </row>
    <row r="244" spans="2:15" ht="30">
      <c r="B244" s="359" t="s">
        <v>336</v>
      </c>
      <c r="C244" s="362"/>
      <c r="D244" s="362"/>
      <c r="E244" s="359">
        <v>1.1249999999999999E-5</v>
      </c>
      <c r="F244" s="359">
        <v>2.2499999999999998E-5</v>
      </c>
      <c r="G244" s="359">
        <v>9.4499999999999993</v>
      </c>
      <c r="H244" s="359">
        <f>(Mobile_S1_EF[[#This Row],[CO2 Factor
(kg / unit)]]*Data!$AI$5)+(Mobile_S1_EF[[#This Row],[CH4 Factor
(kg / unit)]]*Data!$AI$6)+(Mobile_S1_EF[[#This Row],[N2O Factor
(kg / unit)]]*Data!$AI$7)</f>
        <v>6.4563749999999994E-3</v>
      </c>
      <c r="I244" s="359">
        <f>(Mobile_S1_EF[[#This Row],[CO2 Factor
(kg / unit)]]*Data!$AJ$5)+(Mobile_S1_EF[[#This Row],[CH4 Factor
(kg / unit)]]*Data!$AJ$6)+(Mobile_S1_EF[[#This Row],[N2O Factor
(kg / unit)]]*Data!$AJ$7)</f>
        <v>6.2774999999999992E-3</v>
      </c>
      <c r="J244" s="359" t="s">
        <v>102</v>
      </c>
      <c r="K244" s="841" t="s">
        <v>329</v>
      </c>
      <c r="L244" s="473">
        <v>22.5</v>
      </c>
      <c r="M244" s="359" t="s">
        <v>99</v>
      </c>
      <c r="N244" s="359">
        <v>4.9999999999999998E-7</v>
      </c>
      <c r="O244" s="359">
        <v>9.9999999999999995E-7</v>
      </c>
    </row>
    <row r="245" spans="2:15" ht="30">
      <c r="B245" s="359" t="s">
        <v>337</v>
      </c>
      <c r="C245" s="362"/>
      <c r="D245" s="362"/>
      <c r="E245" s="359">
        <v>8.0999999999999987E-6</v>
      </c>
      <c r="F245" s="359">
        <v>1.6199999999999997E-5</v>
      </c>
      <c r="G245" s="359">
        <v>9.4499999999999993</v>
      </c>
      <c r="H245" s="359">
        <f>(Mobile_S1_EF[[#This Row],[CO2 Factor
(kg / unit)]]*Data!$AI$5)+(Mobile_S1_EF[[#This Row],[CH4 Factor
(kg / unit)]]*Data!$AI$6)+(Mobile_S1_EF[[#This Row],[N2O Factor
(kg / unit)]]*Data!$AI$7)</f>
        <v>4.6485899999999993E-3</v>
      </c>
      <c r="I245" s="359">
        <f>(Mobile_S1_EF[[#This Row],[CO2 Factor
(kg / unit)]]*Data!$AJ$5)+(Mobile_S1_EF[[#This Row],[CH4 Factor
(kg / unit)]]*Data!$AJ$6)+(Mobile_S1_EF[[#This Row],[N2O Factor
(kg / unit)]]*Data!$AJ$7)</f>
        <v>4.5197999999999992E-3</v>
      </c>
      <c r="J245" s="359" t="s">
        <v>102</v>
      </c>
      <c r="K245" s="841" t="s">
        <v>329</v>
      </c>
      <c r="L245" s="473">
        <v>16.2</v>
      </c>
      <c r="M245" s="359" t="s">
        <v>99</v>
      </c>
      <c r="N245" s="359">
        <v>4.9999999999999998E-7</v>
      </c>
      <c r="O245" s="359">
        <v>9.9999999999999995E-7</v>
      </c>
    </row>
    <row r="246" spans="2:15" ht="30">
      <c r="B246" s="359" t="s">
        <v>338</v>
      </c>
      <c r="C246" s="362"/>
      <c r="D246" s="362"/>
      <c r="E246" s="359">
        <v>4.4000000000000006E-5</v>
      </c>
      <c r="F246" s="359">
        <v>4.4000000000000006E-5</v>
      </c>
      <c r="G246" s="359">
        <v>9.4499999999999993</v>
      </c>
      <c r="H246" s="359">
        <f>(Mobile_S1_EF[[#This Row],[CO2 Factor
(kg / unit)]]*Data!$AI$5)+(Mobile_S1_EF[[#This Row],[CH4 Factor
(kg / unit)]]*Data!$AI$6)+(Mobile_S1_EF[[#This Row],[N2O Factor
(kg / unit)]]*Data!$AI$7)</f>
        <v>1.3239600000000002E-2</v>
      </c>
      <c r="I246" s="359">
        <f>(Mobile_S1_EF[[#This Row],[CO2 Factor
(kg / unit)]]*Data!$AJ$5)+(Mobile_S1_EF[[#This Row],[CH4 Factor
(kg / unit)]]*Data!$AJ$6)+(Mobile_S1_EF[[#This Row],[N2O Factor
(kg / unit)]]*Data!$AJ$7)</f>
        <v>1.2892000000000002E-2</v>
      </c>
      <c r="J246" s="359" t="s">
        <v>102</v>
      </c>
      <c r="K246" s="841" t="s">
        <v>329</v>
      </c>
      <c r="L246" s="473">
        <v>8.8000000000000007</v>
      </c>
      <c r="M246" s="359" t="s">
        <v>99</v>
      </c>
      <c r="N246" s="359">
        <v>5.0000000000000004E-6</v>
      </c>
      <c r="O246" s="359">
        <v>5.0000000000000004E-6</v>
      </c>
    </row>
    <row r="247" spans="2:15" ht="30">
      <c r="B247" s="359" t="s">
        <v>339</v>
      </c>
      <c r="C247" s="362"/>
      <c r="D247" s="359">
        <v>0.40723948049120001</v>
      </c>
      <c r="E247" s="359">
        <v>8.931291427951199E-2</v>
      </c>
      <c r="F247" s="359">
        <v>6.0592207787999999E-3</v>
      </c>
      <c r="G247" s="362"/>
      <c r="H247" s="359">
        <f>(Mobile_S1_EF[[#This Row],[CO2 Factor
(kg / unit)]]*Data!$AI$5)+(Mobile_S1_EF[[#This Row],[CH4 Factor
(kg / unit)]]*Data!$AI$6)+(Mobile_S1_EF[[#This Row],[N2O Factor
(kg / unit)]]*Data!$AI$7)</f>
        <v>4.5532370615019842</v>
      </c>
      <c r="I247" s="359">
        <f>(Mobile_S1_EF[[#This Row],[CO2 Factor
(kg / unit)]]*Data!$AJ$5)+(Mobile_S1_EF[[#This Row],[CH4 Factor
(kg / unit)]]*Data!$AJ$6)+(Mobile_S1_EF[[#This Row],[N2O Factor
(kg / unit)]]*Data!$AJ$7)</f>
        <v>4.5136945866995362</v>
      </c>
      <c r="J247" s="359" t="s">
        <v>197</v>
      </c>
      <c r="K247" s="841" t="s">
        <v>329</v>
      </c>
      <c r="L247" s="473">
        <v>16.2</v>
      </c>
      <c r="M247" s="359" t="s">
        <v>99</v>
      </c>
      <c r="N247" s="359">
        <v>7.3700000000000002E-4</v>
      </c>
      <c r="O247" s="359">
        <v>5.0000000000000002E-5</v>
      </c>
    </row>
    <row r="248" spans="2:15" ht="30">
      <c r="B248" s="359" t="s">
        <v>340</v>
      </c>
      <c r="C248" s="362"/>
      <c r="D248" s="359">
        <v>0.40723948049120001</v>
      </c>
      <c r="E248" s="359">
        <v>0.129418971419584</v>
      </c>
      <c r="F248" s="359">
        <v>1.15199999992E-2</v>
      </c>
      <c r="G248" s="362"/>
      <c r="H248" s="359">
        <f>(Mobile_S1_EF[[#This Row],[CO2 Factor
(kg / unit)]]*Data!$AI$5)+(Mobile_S1_EF[[#This Row],[CH4 Factor
(kg / unit)]]*Data!$AI$6)+(Mobile_S1_EF[[#This Row],[N2O Factor
(kg / unit)]]*Data!$AI$7)</f>
        <v>7.1629887828791929</v>
      </c>
      <c r="I248" s="359">
        <f>(Mobile_S1_EF[[#This Row],[CO2 Factor
(kg / unit)]]*Data!$AJ$5)+(Mobile_S1_EF[[#This Row],[CH4 Factor
(kg / unit)]]*Data!$AJ$6)+(Mobile_S1_EF[[#This Row],[N2O Factor
(kg / unit)]]*Data!$AJ$7)</f>
        <v>7.0837706800275519</v>
      </c>
      <c r="J248" s="359" t="s">
        <v>197</v>
      </c>
      <c r="K248" s="841" t="s">
        <v>329</v>
      </c>
      <c r="L248" s="473">
        <v>8.8000000000000007</v>
      </c>
      <c r="M248" s="359" t="s">
        <v>99</v>
      </c>
      <c r="N248" s="359">
        <v>1.9659999999999999E-3</v>
      </c>
      <c r="O248" s="359">
        <v>1.75E-4</v>
      </c>
    </row>
    <row r="249" spans="2:15" ht="30">
      <c r="B249" s="359" t="s">
        <v>341</v>
      </c>
      <c r="C249" s="362"/>
      <c r="D249" s="362"/>
      <c r="E249" s="359">
        <v>8.9099999999999997E-4</v>
      </c>
      <c r="F249" s="359">
        <v>1.0854E-3</v>
      </c>
      <c r="G249" s="359">
        <v>5.75</v>
      </c>
      <c r="H249" s="359">
        <f>(Mobile_S1_EF[[#This Row],[CO2 Factor
(kg / unit)]]*Data!$AI$5)+(Mobile_S1_EF[[#This Row],[CH4 Factor
(kg / unit)]]*Data!$AI$6)+(Mobile_S1_EF[[#This Row],[N2O Factor
(kg / unit)]]*Data!$AI$7)</f>
        <v>0.32117310000000004</v>
      </c>
      <c r="I249" s="359">
        <f>(Mobile_S1_EF[[#This Row],[CO2 Factor
(kg / unit)]]*Data!$AJ$5)+(Mobile_S1_EF[[#This Row],[CH4 Factor
(kg / unit)]]*Data!$AJ$6)+(Mobile_S1_EF[[#This Row],[N2O Factor
(kg / unit)]]*Data!$AJ$7)</f>
        <v>0.31257900000000005</v>
      </c>
      <c r="J249" s="359" t="s">
        <v>102</v>
      </c>
      <c r="K249" s="841" t="s">
        <v>329</v>
      </c>
      <c r="L249" s="473">
        <v>16.2</v>
      </c>
      <c r="M249" s="359" t="s">
        <v>99</v>
      </c>
      <c r="N249" s="359">
        <v>5.5000000000000002E-5</v>
      </c>
      <c r="O249" s="359">
        <v>6.7000000000000002E-5</v>
      </c>
    </row>
    <row r="250" spans="2:15" ht="30">
      <c r="B250" s="359" t="s">
        <v>342</v>
      </c>
      <c r="C250" s="362"/>
      <c r="D250" s="362"/>
      <c r="E250" s="359">
        <v>1.7336000000000003E-3</v>
      </c>
      <c r="F250" s="359">
        <v>1.5400000000000001E-3</v>
      </c>
      <c r="G250" s="359">
        <v>5.75</v>
      </c>
      <c r="H250" s="359">
        <f>(Mobile_S1_EF[[#This Row],[CO2 Factor
(kg / unit)]]*Data!$AI$5)+(Mobile_S1_EF[[#This Row],[CH4 Factor
(kg / unit)]]*Data!$AI$6)+(Mobile_S1_EF[[#This Row],[N2O Factor
(kg / unit)]]*Data!$AI$7)</f>
        <v>0.46878744</v>
      </c>
      <c r="I250" s="359">
        <f>(Mobile_S1_EF[[#This Row],[CO2 Factor
(kg / unit)]]*Data!$AJ$5)+(Mobile_S1_EF[[#This Row],[CH4 Factor
(kg / unit)]]*Data!$AJ$6)+(Mobile_S1_EF[[#This Row],[N2O Factor
(kg / unit)]]*Data!$AJ$7)</f>
        <v>0.45664080000000001</v>
      </c>
      <c r="J250" s="359" t="s">
        <v>102</v>
      </c>
      <c r="K250" s="841" t="s">
        <v>329</v>
      </c>
      <c r="L250" s="473">
        <v>8.8000000000000007</v>
      </c>
      <c r="M250" s="359" t="s">
        <v>99</v>
      </c>
      <c r="N250" s="359">
        <v>1.9700000000000002E-4</v>
      </c>
      <c r="O250" s="359">
        <v>1.75E-4</v>
      </c>
    </row>
    <row r="251" spans="2:15" ht="30">
      <c r="B251" s="359" t="s">
        <v>343</v>
      </c>
      <c r="C251" s="362"/>
      <c r="D251" s="359">
        <v>8.7799999999999994</v>
      </c>
      <c r="E251" s="359">
        <v>5.3906109729999995E-4</v>
      </c>
      <c r="F251" s="359">
        <v>1.1217456359999999E-4</v>
      </c>
      <c r="G251" s="362"/>
      <c r="H251" s="359">
        <f>(Mobile_S1_EF[[#This Row],[CO2 Factor
(kg / unit)]]*Data!$AI$5)+(Mobile_S1_EF[[#This Row],[CH4 Factor
(kg / unit)]]*Data!$AI$6)+(Mobile_S1_EF[[#This Row],[N2O Factor
(kg / unit)]]*Data!$AI$7)</f>
        <v>8.82566346047747</v>
      </c>
      <c r="I251" s="359">
        <f>(Mobile_S1_EF[[#This Row],[CO2 Factor
(kg / unit)]]*Data!$AJ$5)+(Mobile_S1_EF[[#This Row],[CH4 Factor
(kg / unit)]]*Data!$AJ$6)+(Mobile_S1_EF[[#This Row],[N2O Factor
(kg / unit)]]*Data!$AJ$7)</f>
        <v>8.8248199700783996</v>
      </c>
      <c r="J251" s="359" t="s">
        <v>102</v>
      </c>
      <c r="K251" s="841" t="s">
        <v>329</v>
      </c>
      <c r="L251" s="473">
        <v>31.159600999999999</v>
      </c>
      <c r="M251" s="359" t="s">
        <v>99</v>
      </c>
      <c r="N251" s="359">
        <v>1.73E-5</v>
      </c>
      <c r="O251" s="359">
        <v>3.5999999999999998E-6</v>
      </c>
    </row>
    <row r="252" spans="2:15" ht="30">
      <c r="B252" s="359" t="s">
        <v>344</v>
      </c>
      <c r="C252" s="362"/>
      <c r="D252" s="359">
        <v>8.7799999999999994</v>
      </c>
      <c r="E252" s="359">
        <v>1.2600000000000001E-3</v>
      </c>
      <c r="F252" s="359">
        <v>2.2000000000000001E-4</v>
      </c>
      <c r="G252" s="362"/>
      <c r="H252" s="359">
        <f>(Mobile_S1_EF[[#This Row],[CO2 Factor
(kg / unit)]]*Data!$AI$5)+(Mobile_S1_EF[[#This Row],[CH4 Factor
(kg / unit)]]*Data!$AI$6)+(Mobile_S1_EF[[#This Row],[N2O Factor
(kg / unit)]]*Data!$AI$7)</f>
        <v>8.8752139999999997</v>
      </c>
      <c r="I252" s="359">
        <f>(Mobile_S1_EF[[#This Row],[CO2 Factor
(kg / unit)]]*Data!$AJ$5)+(Mobile_S1_EF[[#This Row],[CH4 Factor
(kg / unit)]]*Data!$AJ$6)+(Mobile_S1_EF[[#This Row],[N2O Factor
(kg / unit)]]*Data!$AJ$7)</f>
        <v>8.8735799999999987</v>
      </c>
      <c r="J252" s="359" t="s">
        <v>102</v>
      </c>
      <c r="K252" s="841" t="s">
        <v>329</v>
      </c>
      <c r="L252" s="475"/>
      <c r="M252" s="359" t="s">
        <v>102</v>
      </c>
      <c r="N252" s="359">
        <v>1.2600000000000001E-3</v>
      </c>
      <c r="O252" s="359">
        <v>2.2000000000000001E-4</v>
      </c>
    </row>
    <row r="253" spans="2:15" ht="30">
      <c r="B253" s="359" t="s">
        <v>345</v>
      </c>
      <c r="C253" s="362"/>
      <c r="D253" s="359">
        <v>10.210000000000001</v>
      </c>
      <c r="E253" s="359">
        <v>1.4399999999999999E-3</v>
      </c>
      <c r="F253" s="359">
        <v>2.6000000000000003E-4</v>
      </c>
      <c r="G253" s="362"/>
      <c r="H253" s="359">
        <f>(Mobile_S1_EF[[#This Row],[CO2 Factor
(kg / unit)]]*Data!$AI$5)+(Mobile_S1_EF[[#This Row],[CH4 Factor
(kg / unit)]]*Data!$AI$6)+(Mobile_S1_EF[[#This Row],[N2O Factor
(kg / unit)]]*Data!$AI$7)</f>
        <v>10.321156000000002</v>
      </c>
      <c r="I253" s="359">
        <f>(Mobile_S1_EF[[#This Row],[CO2 Factor
(kg / unit)]]*Data!$AJ$5)+(Mobile_S1_EF[[#This Row],[CH4 Factor
(kg / unit)]]*Data!$AJ$6)+(Mobile_S1_EF[[#This Row],[N2O Factor
(kg / unit)]]*Data!$AJ$7)</f>
        <v>10.31922</v>
      </c>
      <c r="J253" s="359" t="s">
        <v>102</v>
      </c>
      <c r="K253" s="841" t="s">
        <v>329</v>
      </c>
      <c r="L253" s="475"/>
      <c r="M253" s="359" t="s">
        <v>102</v>
      </c>
      <c r="N253" s="359">
        <v>1.4399999999999999E-3</v>
      </c>
      <c r="O253" s="359">
        <v>2.6000000000000003E-4</v>
      </c>
    </row>
    <row r="254" spans="2:15" ht="30">
      <c r="B254" s="359" t="s">
        <v>346</v>
      </c>
      <c r="C254" s="362"/>
      <c r="D254" s="359">
        <v>8.7799999999999994</v>
      </c>
      <c r="E254" s="359">
        <v>6.4000000000000005E-4</v>
      </c>
      <c r="F254" s="359">
        <v>2.2000000000000001E-4</v>
      </c>
      <c r="G254" s="362"/>
      <c r="H254" s="359">
        <f>(Mobile_S1_EF[[#This Row],[CO2 Factor
(kg / unit)]]*Data!$AI$5)+(Mobile_S1_EF[[#This Row],[CH4 Factor
(kg / unit)]]*Data!$AI$6)+(Mobile_S1_EF[[#This Row],[N2O Factor
(kg / unit)]]*Data!$AI$7)</f>
        <v>8.8579159999999995</v>
      </c>
      <c r="I254" s="359">
        <f>(Mobile_S1_EF[[#This Row],[CO2 Factor
(kg / unit)]]*Data!$AJ$5)+(Mobile_S1_EF[[#This Row],[CH4 Factor
(kg / unit)]]*Data!$AJ$6)+(Mobile_S1_EF[[#This Row],[N2O Factor
(kg / unit)]]*Data!$AJ$7)</f>
        <v>8.8562199999999986</v>
      </c>
      <c r="J254" s="359" t="s">
        <v>102</v>
      </c>
      <c r="K254" s="841" t="s">
        <v>329</v>
      </c>
      <c r="L254" s="475"/>
      <c r="M254" s="359" t="s">
        <v>102</v>
      </c>
      <c r="N254" s="359">
        <v>6.4000000000000005E-4</v>
      </c>
      <c r="O254" s="359">
        <v>2.2000000000000001E-4</v>
      </c>
    </row>
    <row r="255" spans="2:15" ht="30">
      <c r="B255" s="359" t="s">
        <v>347</v>
      </c>
      <c r="C255" s="362"/>
      <c r="D255" s="359">
        <v>10.210000000000001</v>
      </c>
      <c r="E255" s="359">
        <v>5.9999999999999995E-5</v>
      </c>
      <c r="F255" s="359">
        <v>4.4999999999999999E-4</v>
      </c>
      <c r="G255" s="362"/>
      <c r="H255" s="359">
        <f>(Mobile_S1_EF[[#This Row],[CO2 Factor
(kg / unit)]]*Data!$AI$5)+(Mobile_S1_EF[[#This Row],[CH4 Factor
(kg / unit)]]*Data!$AI$6)+(Mobile_S1_EF[[#This Row],[N2O Factor
(kg / unit)]]*Data!$AI$7)</f>
        <v>10.334524</v>
      </c>
      <c r="I255" s="359">
        <f>(Mobile_S1_EF[[#This Row],[CO2 Factor
(kg / unit)]]*Data!$AJ$5)+(Mobile_S1_EF[[#This Row],[CH4 Factor
(kg / unit)]]*Data!$AJ$6)+(Mobile_S1_EF[[#This Row],[N2O Factor
(kg / unit)]]*Data!$AJ$7)</f>
        <v>10.33093</v>
      </c>
      <c r="J255" s="359" t="s">
        <v>102</v>
      </c>
      <c r="K255" s="841" t="s">
        <v>329</v>
      </c>
      <c r="L255" s="475"/>
      <c r="M255" s="359" t="s">
        <v>102</v>
      </c>
      <c r="N255" s="359">
        <v>5.9999999999999995E-5</v>
      </c>
      <c r="O255" s="359">
        <v>4.4999999999999999E-4</v>
      </c>
    </row>
    <row r="256" spans="2:15" ht="30">
      <c r="B256" s="359" t="s">
        <v>348</v>
      </c>
      <c r="C256" s="362"/>
      <c r="D256" s="359">
        <v>9.75</v>
      </c>
      <c r="E256" s="359">
        <v>0</v>
      </c>
      <c r="F256" s="359">
        <v>2.9999999999999997E-4</v>
      </c>
      <c r="G256" s="362"/>
      <c r="H256" s="359">
        <f>(Mobile_S1_EF[[#This Row],[CO2 Factor
(kg / unit)]]*Data!$AI$5)+(Mobile_S1_EF[[#This Row],[CH4 Factor
(kg / unit)]]*Data!$AI$6)+(Mobile_S1_EF[[#This Row],[N2O Factor
(kg / unit)]]*Data!$AI$7)</f>
        <v>9.8318999999999992</v>
      </c>
      <c r="I256" s="359">
        <f>(Mobile_S1_EF[[#This Row],[CO2 Factor
(kg / unit)]]*Data!$AJ$5)+(Mobile_S1_EF[[#This Row],[CH4 Factor
(kg / unit)]]*Data!$AJ$6)+(Mobile_S1_EF[[#This Row],[N2O Factor
(kg / unit)]]*Data!$AJ$7)</f>
        <v>9.8294999999999995</v>
      </c>
      <c r="J256" s="359" t="s">
        <v>102</v>
      </c>
      <c r="K256" s="841" t="s">
        <v>329</v>
      </c>
      <c r="L256" s="475"/>
      <c r="M256" s="359" t="s">
        <v>102</v>
      </c>
      <c r="N256" s="359">
        <v>0</v>
      </c>
      <c r="O256" s="359">
        <v>2.9999999999999997E-4</v>
      </c>
    </row>
    <row r="257" spans="2:15" ht="30">
      <c r="B257" s="359" t="s">
        <v>349</v>
      </c>
      <c r="C257" s="362"/>
      <c r="D257" s="359">
        <v>8.31</v>
      </c>
      <c r="E257" s="359">
        <v>7.0599999999999994E-3</v>
      </c>
      <c r="F257" s="359">
        <v>1.1E-4</v>
      </c>
      <c r="G257" s="362"/>
      <c r="H257" s="359">
        <f>(Mobile_S1_EF[[#This Row],[CO2 Factor
(kg / unit)]]*Data!$AI$5)+(Mobile_S1_EF[[#This Row],[CH4 Factor
(kg / unit)]]*Data!$AI$6)+(Mobile_S1_EF[[#This Row],[N2O Factor
(kg / unit)]]*Data!$AI$7)</f>
        <v>8.5370039999999996</v>
      </c>
      <c r="I257" s="359">
        <f>(Mobile_S1_EF[[#This Row],[CO2 Factor
(kg / unit)]]*Data!$AJ$5)+(Mobile_S1_EF[[#This Row],[CH4 Factor
(kg / unit)]]*Data!$AJ$6)+(Mobile_S1_EF[[#This Row],[N2O Factor
(kg / unit)]]*Data!$AJ$7)</f>
        <v>8.5368300000000001</v>
      </c>
      <c r="J257" s="359" t="s">
        <v>102</v>
      </c>
      <c r="K257" s="841" t="s">
        <v>329</v>
      </c>
      <c r="L257" s="475"/>
      <c r="M257" s="359" t="s">
        <v>102</v>
      </c>
      <c r="N257" s="359">
        <v>7.0599999999999994E-3</v>
      </c>
      <c r="O257" s="359">
        <v>1.1E-4</v>
      </c>
    </row>
    <row r="258" spans="2:15" ht="30">
      <c r="B258" s="359" t="s">
        <v>350</v>
      </c>
      <c r="C258" s="362"/>
      <c r="D258" s="359">
        <v>8.7799999999999994</v>
      </c>
      <c r="E258" s="359">
        <v>3.3599999999999997E-3</v>
      </c>
      <c r="F258" s="359">
        <v>3.4499999999999998E-4</v>
      </c>
      <c r="G258" s="362"/>
      <c r="H258" s="359">
        <f>(Mobile_S1_EF[[#This Row],[CO2 Factor
(kg / unit)]]*Data!$AI$5)+(Mobile_S1_EF[[#This Row],[CH4 Factor
(kg / unit)]]*Data!$AI$6)+(Mobile_S1_EF[[#This Row],[N2O Factor
(kg / unit)]]*Data!$AI$7)</f>
        <v>8.967928999999998</v>
      </c>
      <c r="I258" s="359">
        <f>(Mobile_S1_EF[[#This Row],[CO2 Factor
(kg / unit)]]*Data!$AJ$5)+(Mobile_S1_EF[[#This Row],[CH4 Factor
(kg / unit)]]*Data!$AJ$6)+(Mobile_S1_EF[[#This Row],[N2O Factor
(kg / unit)]]*Data!$AJ$7)</f>
        <v>8.9655049999999985</v>
      </c>
      <c r="J258" s="359" t="s">
        <v>102</v>
      </c>
      <c r="K258" s="841" t="s">
        <v>329</v>
      </c>
      <c r="L258" s="473">
        <v>50</v>
      </c>
      <c r="M258" s="359" t="s">
        <v>99</v>
      </c>
      <c r="N258" s="359">
        <v>6.7199999999999994E-5</v>
      </c>
      <c r="O258" s="359">
        <v>6.9E-6</v>
      </c>
    </row>
    <row r="259" spans="2:15" ht="30">
      <c r="B259" s="359" t="s">
        <v>351</v>
      </c>
      <c r="C259" s="362"/>
      <c r="D259" s="359">
        <v>8.7799999999999994</v>
      </c>
      <c r="E259" s="359">
        <v>5.0000000000000001E-4</v>
      </c>
      <c r="F259" s="359">
        <v>2.2000000000000001E-4</v>
      </c>
      <c r="G259" s="362"/>
      <c r="H259" s="359">
        <f>(Mobile_S1_EF[[#This Row],[CO2 Factor
(kg / unit)]]*Data!$AI$5)+(Mobile_S1_EF[[#This Row],[CH4 Factor
(kg / unit)]]*Data!$AI$6)+(Mobile_S1_EF[[#This Row],[N2O Factor
(kg / unit)]]*Data!$AI$7)</f>
        <v>8.8540099999999988</v>
      </c>
      <c r="I259" s="359">
        <f>(Mobile_S1_EF[[#This Row],[CO2 Factor
(kg / unit)]]*Data!$AJ$5)+(Mobile_S1_EF[[#This Row],[CH4 Factor
(kg / unit)]]*Data!$AJ$6)+(Mobile_S1_EF[[#This Row],[N2O Factor
(kg / unit)]]*Data!$AJ$7)</f>
        <v>8.8522999999999978</v>
      </c>
      <c r="J259" s="359" t="s">
        <v>102</v>
      </c>
      <c r="K259" s="841" t="s">
        <v>329</v>
      </c>
      <c r="L259" s="475"/>
      <c r="M259" s="359" t="s">
        <v>102</v>
      </c>
      <c r="N259" s="359">
        <v>5.0000000000000001E-4</v>
      </c>
      <c r="O259" s="359">
        <v>2.2000000000000001E-4</v>
      </c>
    </row>
    <row r="260" spans="2:15" ht="30">
      <c r="B260" s="359" t="s">
        <v>352</v>
      </c>
      <c r="C260" s="362"/>
      <c r="D260" s="359">
        <v>10.210000000000001</v>
      </c>
      <c r="E260" s="359">
        <v>5.6999999999999998E-4</v>
      </c>
      <c r="F260" s="359">
        <v>2.6000000000000003E-4</v>
      </c>
      <c r="G260" s="362"/>
      <c r="H260" s="359">
        <f>(Mobile_S1_EF[[#This Row],[CO2 Factor
(kg / unit)]]*Data!$AI$5)+(Mobile_S1_EF[[#This Row],[CH4 Factor
(kg / unit)]]*Data!$AI$6)+(Mobile_S1_EF[[#This Row],[N2O Factor
(kg / unit)]]*Data!$AI$7)</f>
        <v>10.296883000000001</v>
      </c>
      <c r="I260" s="359">
        <f>(Mobile_S1_EF[[#This Row],[CO2 Factor
(kg / unit)]]*Data!$AJ$5)+(Mobile_S1_EF[[#This Row],[CH4 Factor
(kg / unit)]]*Data!$AJ$6)+(Mobile_S1_EF[[#This Row],[N2O Factor
(kg / unit)]]*Data!$AJ$7)</f>
        <v>10.29486</v>
      </c>
      <c r="J260" s="359" t="s">
        <v>102</v>
      </c>
      <c r="K260" s="841" t="s">
        <v>329</v>
      </c>
      <c r="L260" s="475"/>
      <c r="M260" s="359" t="s">
        <v>102</v>
      </c>
      <c r="N260" s="359">
        <v>5.6999999999999998E-4</v>
      </c>
      <c r="O260" s="359">
        <v>2.6000000000000003E-4</v>
      </c>
    </row>
    <row r="261" spans="2:15" ht="30">
      <c r="B261" s="359" t="s">
        <v>338</v>
      </c>
      <c r="C261" s="362"/>
      <c r="D261" s="359">
        <v>0</v>
      </c>
      <c r="E261" s="359">
        <v>2.9500000000000006E-5</v>
      </c>
      <c r="F261" s="359">
        <v>2.9500000000000006E-5</v>
      </c>
      <c r="G261" s="359">
        <v>9.4499999999999993</v>
      </c>
      <c r="H261" s="359">
        <f>(Mobile_S1_EF[[#This Row],[CO2 Factor
(kg / unit)]]*Data!$AI$5)+(Mobile_S1_EF[[#This Row],[CH4 Factor
(kg / unit)]]*Data!$AI$6)+(Mobile_S1_EF[[#This Row],[N2O Factor
(kg / unit)]]*Data!$AI$7)</f>
        <v>8.8765500000000021E-3</v>
      </c>
      <c r="I261" s="359">
        <f>(Mobile_S1_EF[[#This Row],[CO2 Factor
(kg / unit)]]*Data!$AJ$5)+(Mobile_S1_EF[[#This Row],[CH4 Factor
(kg / unit)]]*Data!$AJ$6)+(Mobile_S1_EF[[#This Row],[N2O Factor
(kg / unit)]]*Data!$AJ$7)</f>
        <v>8.6435000000000019E-3</v>
      </c>
      <c r="J261" s="359" t="s">
        <v>102</v>
      </c>
      <c r="K261" s="841" t="s">
        <v>329</v>
      </c>
      <c r="L261" s="474">
        <v>5.9</v>
      </c>
      <c r="M261" s="359" t="s">
        <v>99</v>
      </c>
      <c r="N261" s="359">
        <v>5.0000000000000004E-6</v>
      </c>
      <c r="O261" s="359">
        <v>5.0000000000000004E-6</v>
      </c>
    </row>
    <row r="265" spans="2:15" s="435" customFormat="1" ht="23.25">
      <c r="B265" s="435" t="s">
        <v>36</v>
      </c>
    </row>
    <row r="267" spans="2:15" hidden="1"/>
    <row r="268" spans="2:15" hidden="1">
      <c r="F268" t="s">
        <v>353</v>
      </c>
    </row>
    <row r="269" spans="2:15" hidden="1">
      <c r="B269" t="s">
        <v>354</v>
      </c>
      <c r="C269" t="s">
        <v>355</v>
      </c>
      <c r="D269" t="s">
        <v>356</v>
      </c>
      <c r="E269" t="s">
        <v>194</v>
      </c>
      <c r="F269" t="s">
        <v>357</v>
      </c>
      <c r="G269" t="s">
        <v>246</v>
      </c>
      <c r="H269" t="s">
        <v>247</v>
      </c>
      <c r="I269" t="s">
        <v>248</v>
      </c>
    </row>
    <row r="270" spans="2:15" hidden="1">
      <c r="B270" t="s">
        <v>358</v>
      </c>
      <c r="C270" t="s">
        <v>359</v>
      </c>
      <c r="D270" t="s">
        <v>360</v>
      </c>
      <c r="E270" t="s">
        <v>361</v>
      </c>
      <c r="F270">
        <v>0.13483000000000001</v>
      </c>
      <c r="G270">
        <v>0.13345000000000001</v>
      </c>
      <c r="H270">
        <v>1.2E-4</v>
      </c>
      <c r="I270">
        <v>1.2600000000000001E-3</v>
      </c>
      <c r="K270" t="str">
        <f>"Air Travel - "&amp;C270&amp;" - "&amp;D270</f>
        <v>Air Travel - Domestic, to/from UK - Average passenger</v>
      </c>
    </row>
    <row r="271" spans="2:15" hidden="1">
      <c r="C271" t="s">
        <v>362</v>
      </c>
      <c r="D271" t="s">
        <v>360</v>
      </c>
      <c r="E271" t="s">
        <v>361</v>
      </c>
      <c r="F271">
        <v>8.3699999999999997E-2</v>
      </c>
      <c r="G271">
        <v>8.2909999999999998E-2</v>
      </c>
      <c r="H271">
        <v>1.0000000000000001E-5</v>
      </c>
      <c r="I271">
        <v>7.7999999999999999E-4</v>
      </c>
      <c r="K271" t="str">
        <f t="shared" ref="K271:K283" si="0">"Air Travel - "&amp;C271&amp;" - "&amp;D271</f>
        <v>Air Travel - Short-haul, to/from UK - Average passenger</v>
      </c>
    </row>
    <row r="272" spans="2:15" hidden="1">
      <c r="C272" t="s">
        <v>362</v>
      </c>
      <c r="D272" t="s">
        <v>363</v>
      </c>
      <c r="E272" t="s">
        <v>361</v>
      </c>
      <c r="F272">
        <v>8.233E-2</v>
      </c>
      <c r="G272">
        <v>8.1549999999999997E-2</v>
      </c>
      <c r="H272">
        <v>1.0000000000000001E-5</v>
      </c>
      <c r="I272">
        <v>7.6999999999999996E-4</v>
      </c>
      <c r="K272" t="str">
        <f t="shared" si="0"/>
        <v>Air Travel - Short-haul, to/from UK - Economy class</v>
      </c>
    </row>
    <row r="273" spans="2:11" hidden="1">
      <c r="C273" t="s">
        <v>362</v>
      </c>
      <c r="D273" t="s">
        <v>364</v>
      </c>
      <c r="E273" t="s">
        <v>361</v>
      </c>
      <c r="F273">
        <v>0.1235</v>
      </c>
      <c r="G273">
        <v>0.12232999999999999</v>
      </c>
      <c r="H273">
        <v>1.0000000000000001E-5</v>
      </c>
      <c r="I273">
        <v>1.16E-3</v>
      </c>
      <c r="K273" t="str">
        <f t="shared" si="0"/>
        <v>Air Travel - Short-haul, to/from UK - Business class</v>
      </c>
    </row>
    <row r="274" spans="2:11" hidden="1">
      <c r="C274" t="s">
        <v>365</v>
      </c>
      <c r="D274" t="s">
        <v>360</v>
      </c>
      <c r="E274" t="s">
        <v>361</v>
      </c>
      <c r="F274">
        <v>0.10342</v>
      </c>
      <c r="G274">
        <v>0.10244</v>
      </c>
      <c r="H274">
        <v>1.0000000000000001E-5</v>
      </c>
      <c r="I274">
        <v>9.7000000000000005E-4</v>
      </c>
      <c r="K274" t="str">
        <f t="shared" si="0"/>
        <v>Air Travel - Long-haul, to/from UK - Average passenger</v>
      </c>
    </row>
    <row r="275" spans="2:11" hidden="1">
      <c r="C275" t="s">
        <v>365</v>
      </c>
      <c r="D275" t="s">
        <v>363</v>
      </c>
      <c r="E275" t="s">
        <v>361</v>
      </c>
      <c r="F275">
        <v>7.9200000000000007E-2</v>
      </c>
      <c r="G275">
        <v>7.8450000000000006E-2</v>
      </c>
      <c r="H275">
        <v>1.0000000000000001E-5</v>
      </c>
      <c r="I275">
        <v>7.3999999999999999E-4</v>
      </c>
      <c r="K275" t="str">
        <f t="shared" si="0"/>
        <v>Air Travel - Long-haul, to/from UK - Economy class</v>
      </c>
    </row>
    <row r="276" spans="2:11" hidden="1">
      <c r="C276" t="s">
        <v>365</v>
      </c>
      <c r="D276" t="s">
        <v>366</v>
      </c>
      <c r="E276" t="s">
        <v>361</v>
      </c>
      <c r="F276">
        <v>0.12673000000000001</v>
      </c>
      <c r="G276">
        <v>0.12553</v>
      </c>
      <c r="H276">
        <v>1.0000000000000001E-5</v>
      </c>
      <c r="I276">
        <v>1.1900000000000001E-3</v>
      </c>
      <c r="K276" t="str">
        <f t="shared" si="0"/>
        <v>Air Travel - Long-haul, to/from UK - Premium economy class</v>
      </c>
    </row>
    <row r="277" spans="2:11" hidden="1">
      <c r="C277" t="s">
        <v>365</v>
      </c>
      <c r="D277" t="s">
        <v>364</v>
      </c>
      <c r="E277" t="s">
        <v>361</v>
      </c>
      <c r="F277">
        <v>0.22969000000000001</v>
      </c>
      <c r="G277">
        <v>0.22752</v>
      </c>
      <c r="H277">
        <v>2.0000000000000002E-5</v>
      </c>
      <c r="I277">
        <v>2.15E-3</v>
      </c>
      <c r="K277" t="str">
        <f t="shared" si="0"/>
        <v>Air Travel - Long-haul, to/from UK - Business class</v>
      </c>
    </row>
    <row r="278" spans="2:11" hidden="1">
      <c r="C278" t="s">
        <v>365</v>
      </c>
      <c r="D278" t="s">
        <v>367</v>
      </c>
      <c r="E278" t="s">
        <v>361</v>
      </c>
      <c r="F278">
        <v>0.31680999999999998</v>
      </c>
      <c r="G278">
        <v>0.31381999999999999</v>
      </c>
      <c r="H278">
        <v>2.0000000000000002E-5</v>
      </c>
      <c r="I278">
        <v>2.97E-3</v>
      </c>
      <c r="K278" t="str">
        <f t="shared" si="0"/>
        <v>Air Travel - Long-haul, to/from UK - First class</v>
      </c>
    </row>
    <row r="279" spans="2:11" hidden="1">
      <c r="C279" t="s">
        <v>368</v>
      </c>
      <c r="D279" t="s">
        <v>360</v>
      </c>
      <c r="E279" t="s">
        <v>361</v>
      </c>
      <c r="F279">
        <v>9.5579999999999998E-2</v>
      </c>
      <c r="G279">
        <v>9.4670000000000004E-2</v>
      </c>
      <c r="H279">
        <v>1.0000000000000001E-5</v>
      </c>
      <c r="I279">
        <v>8.9999999999999998E-4</v>
      </c>
      <c r="K279" t="str">
        <f t="shared" si="0"/>
        <v>Air Travel - International, to/from non-UK - Average passenger</v>
      </c>
    </row>
    <row r="280" spans="2:11" hidden="1">
      <c r="C280" t="s">
        <v>368</v>
      </c>
      <c r="D280" t="s">
        <v>363</v>
      </c>
      <c r="E280" t="s">
        <v>361</v>
      </c>
      <c r="F280">
        <v>7.3194999999999996E-2</v>
      </c>
      <c r="G280">
        <v>7.2499999999999995E-2</v>
      </c>
      <c r="H280">
        <v>5.0000000000000004E-6</v>
      </c>
      <c r="I280">
        <v>6.8999999999999997E-4</v>
      </c>
      <c r="K280" t="str">
        <f t="shared" si="0"/>
        <v>Air Travel - International, to/from non-UK - Economy class</v>
      </c>
    </row>
    <row r="281" spans="2:11" hidden="1">
      <c r="C281" t="s">
        <v>368</v>
      </c>
      <c r="D281" t="s">
        <v>366</v>
      </c>
      <c r="E281" t="s">
        <v>361</v>
      </c>
      <c r="F281">
        <v>0.11711000000000001</v>
      </c>
      <c r="G281">
        <v>0.11600000000000001</v>
      </c>
      <c r="H281">
        <v>1.0000000000000001E-5</v>
      </c>
      <c r="I281">
        <v>1.1000000000000001E-3</v>
      </c>
      <c r="K281" t="str">
        <f t="shared" si="0"/>
        <v>Air Travel - International, to/from non-UK - Premium economy class</v>
      </c>
    </row>
    <row r="282" spans="2:11" hidden="1">
      <c r="C282" t="s">
        <v>368</v>
      </c>
      <c r="D282" t="s">
        <v>364</v>
      </c>
      <c r="E282" t="s">
        <v>361</v>
      </c>
      <c r="F282">
        <v>0.21226</v>
      </c>
      <c r="G282">
        <v>0.21024999999999999</v>
      </c>
      <c r="H282">
        <v>2.0000000000000002E-5</v>
      </c>
      <c r="I282">
        <v>1.99E-3</v>
      </c>
      <c r="K282" t="str">
        <f t="shared" si="0"/>
        <v>Air Travel - International, to/from non-UK - Business class</v>
      </c>
    </row>
    <row r="283" spans="2:11" hidden="1">
      <c r="C283" t="s">
        <v>368</v>
      </c>
      <c r="D283" t="s">
        <v>367</v>
      </c>
      <c r="E283" t="s">
        <v>361</v>
      </c>
      <c r="F283">
        <v>0.29276000000000002</v>
      </c>
      <c r="G283">
        <v>0.28999999999999998</v>
      </c>
      <c r="H283">
        <v>2.0000000000000002E-5</v>
      </c>
      <c r="I283">
        <v>2.7399999999999998E-3</v>
      </c>
      <c r="K283" t="str">
        <f t="shared" si="0"/>
        <v>Air Travel - International, to/from non-UK - First class</v>
      </c>
    </row>
    <row r="284" spans="2:11" hidden="1"/>
    <row r="285" spans="2:11" hidden="1"/>
    <row r="286" spans="2:11" hidden="1">
      <c r="B286" t="s">
        <v>354</v>
      </c>
      <c r="C286" t="s">
        <v>369</v>
      </c>
      <c r="D286" t="s">
        <v>194</v>
      </c>
      <c r="E286" t="s">
        <v>357</v>
      </c>
      <c r="F286" t="s">
        <v>246</v>
      </c>
      <c r="G286" t="s">
        <v>247</v>
      </c>
      <c r="H286" t="s">
        <v>248</v>
      </c>
    </row>
    <row r="287" spans="2:11" hidden="1">
      <c r="B287" t="s">
        <v>370</v>
      </c>
      <c r="C287" t="s">
        <v>371</v>
      </c>
      <c r="D287" t="s">
        <v>361</v>
      </c>
      <c r="E287">
        <v>1.8737999999999998E-2</v>
      </c>
      <c r="F287">
        <v>1.848E-2</v>
      </c>
      <c r="G287">
        <v>6.0000000000000002E-6</v>
      </c>
      <c r="H287">
        <v>2.52E-4</v>
      </c>
    </row>
    <row r="288" spans="2:11" hidden="1">
      <c r="C288" t="s">
        <v>372</v>
      </c>
      <c r="D288" t="s">
        <v>361</v>
      </c>
      <c r="E288">
        <v>0.12951799999999999</v>
      </c>
      <c r="F288">
        <v>0.12773899999999999</v>
      </c>
      <c r="G288">
        <v>3.8000000000000002E-5</v>
      </c>
      <c r="H288">
        <v>1.7409999999999999E-3</v>
      </c>
    </row>
    <row r="289" spans="2:36" hidden="1">
      <c r="C289" t="s">
        <v>373</v>
      </c>
      <c r="D289" t="s">
        <v>361</v>
      </c>
      <c r="E289">
        <v>0.112863</v>
      </c>
      <c r="F289">
        <v>0.111313</v>
      </c>
      <c r="G289">
        <v>3.3000000000000003E-5</v>
      </c>
      <c r="H289">
        <v>1.5169999999999999E-3</v>
      </c>
      <c r="K289" t="str">
        <f>B287&amp;" - "&amp;C289</f>
        <v>Ferry - Average (all passenger)</v>
      </c>
    </row>
    <row r="290" spans="2:36" hidden="1"/>
    <row r="291" spans="2:36" hidden="1"/>
    <row r="292" spans="2:36" hidden="1"/>
    <row r="293" spans="2:36" hidden="1">
      <c r="E293" t="s">
        <v>374</v>
      </c>
      <c r="I293" t="s">
        <v>375</v>
      </c>
      <c r="M293" t="s">
        <v>376</v>
      </c>
      <c r="Q293" t="s">
        <v>377</v>
      </c>
      <c r="U293" t="s">
        <v>378</v>
      </c>
      <c r="Y293" t="s">
        <v>379</v>
      </c>
      <c r="AC293" t="s">
        <v>380</v>
      </c>
      <c r="AG293" t="s">
        <v>381</v>
      </c>
    </row>
    <row r="294" spans="2:36" hidden="1">
      <c r="B294" t="s">
        <v>354</v>
      </c>
      <c r="C294" t="s">
        <v>369</v>
      </c>
      <c r="D294" t="s">
        <v>194</v>
      </c>
      <c r="E294" t="s">
        <v>357</v>
      </c>
      <c r="F294" t="s">
        <v>246</v>
      </c>
      <c r="G294" t="s">
        <v>247</v>
      </c>
      <c r="H294" t="s">
        <v>248</v>
      </c>
      <c r="I294" t="s">
        <v>357</v>
      </c>
      <c r="J294" t="s">
        <v>246</v>
      </c>
      <c r="K294" t="s">
        <v>247</v>
      </c>
      <c r="L294" t="s">
        <v>248</v>
      </c>
      <c r="M294" t="s">
        <v>357</v>
      </c>
      <c r="N294" t="s">
        <v>246</v>
      </c>
      <c r="O294" t="s">
        <v>247</v>
      </c>
      <c r="P294" t="s">
        <v>248</v>
      </c>
      <c r="Q294" t="s">
        <v>357</v>
      </c>
      <c r="R294" t="s">
        <v>246</v>
      </c>
      <c r="S294" t="s">
        <v>247</v>
      </c>
      <c r="T294" t="s">
        <v>248</v>
      </c>
      <c r="U294" t="s">
        <v>357</v>
      </c>
      <c r="V294" t="s">
        <v>246</v>
      </c>
      <c r="W294" t="s">
        <v>247</v>
      </c>
      <c r="X294" t="s">
        <v>248</v>
      </c>
      <c r="Y294" t="s">
        <v>357</v>
      </c>
      <c r="Z294" t="s">
        <v>246</v>
      </c>
      <c r="AA294" t="s">
        <v>247</v>
      </c>
      <c r="AB294" t="s">
        <v>248</v>
      </c>
      <c r="AC294" t="s">
        <v>357</v>
      </c>
      <c r="AD294" t="s">
        <v>246</v>
      </c>
      <c r="AE294" t="s">
        <v>247</v>
      </c>
      <c r="AF294" t="s">
        <v>248</v>
      </c>
      <c r="AG294" t="s">
        <v>357</v>
      </c>
      <c r="AH294" t="s">
        <v>246</v>
      </c>
      <c r="AI294" t="s">
        <v>247</v>
      </c>
      <c r="AJ294" t="s">
        <v>248</v>
      </c>
    </row>
    <row r="295" spans="2:36" hidden="1">
      <c r="B295" t="s">
        <v>382</v>
      </c>
      <c r="C295" t="s">
        <v>383</v>
      </c>
      <c r="D295" t="s">
        <v>384</v>
      </c>
      <c r="E295">
        <v>0.14208000000000001</v>
      </c>
      <c r="F295">
        <v>0.14024</v>
      </c>
      <c r="G295">
        <v>4.3200000000000001E-6</v>
      </c>
      <c r="H295">
        <v>1.8400000000000001E-3</v>
      </c>
      <c r="I295">
        <v>0.15371000000000001</v>
      </c>
      <c r="J295">
        <v>0.15301000000000001</v>
      </c>
      <c r="K295">
        <v>3.2000000000000003E-4</v>
      </c>
      <c r="L295">
        <v>3.8000000000000002E-4</v>
      </c>
      <c r="M295">
        <v>0.1052</v>
      </c>
      <c r="N295">
        <v>0.10409</v>
      </c>
      <c r="O295">
        <v>2.1000000000000001E-4</v>
      </c>
      <c r="P295">
        <v>8.9999999999999998E-4</v>
      </c>
      <c r="Y295">
        <v>0.14957999999999999</v>
      </c>
      <c r="Z295">
        <v>0.14846999999999999</v>
      </c>
      <c r="AA295">
        <v>2.1000000000000001E-4</v>
      </c>
      <c r="AB295">
        <v>8.9999999999999998E-4</v>
      </c>
      <c r="AC295">
        <v>7.3470000000000008E-2</v>
      </c>
      <c r="AD295">
        <v>7.2950000000000001E-2</v>
      </c>
      <c r="AE295">
        <v>2.0000000000000001E-4</v>
      </c>
      <c r="AF295">
        <v>3.2000000000000003E-4</v>
      </c>
      <c r="AG295">
        <v>4.956E-2</v>
      </c>
      <c r="AH295">
        <v>4.9160000000000002E-2</v>
      </c>
      <c r="AI295">
        <v>1.2999999999999999E-4</v>
      </c>
      <c r="AJ295">
        <v>2.7E-4</v>
      </c>
    </row>
    <row r="296" spans="2:36" hidden="1">
      <c r="D296" t="s">
        <v>385</v>
      </c>
      <c r="E296">
        <v>0.22868000000000002</v>
      </c>
      <c r="F296">
        <v>0.22570000000000001</v>
      </c>
      <c r="G296">
        <v>1.0000000000000001E-5</v>
      </c>
      <c r="H296">
        <v>2.97E-3</v>
      </c>
      <c r="I296">
        <v>0.24736</v>
      </c>
      <c r="J296">
        <v>0.24623999999999999</v>
      </c>
      <c r="K296">
        <v>5.1000000000000004E-4</v>
      </c>
      <c r="L296">
        <v>6.0999999999999997E-4</v>
      </c>
      <c r="M296">
        <v>0.16930000000000001</v>
      </c>
      <c r="N296">
        <v>0.16752</v>
      </c>
      <c r="O296">
        <v>3.3E-4</v>
      </c>
      <c r="P296">
        <v>1.4499999999999999E-3</v>
      </c>
      <c r="Y296">
        <v>0.24072000000000002</v>
      </c>
      <c r="Z296">
        <v>0.23894000000000001</v>
      </c>
      <c r="AA296">
        <v>3.3E-4</v>
      </c>
      <c r="AB296">
        <v>1.4499999999999999E-3</v>
      </c>
      <c r="AC296">
        <v>0.11823</v>
      </c>
      <c r="AD296">
        <v>0.1174</v>
      </c>
      <c r="AE296">
        <v>3.2000000000000003E-4</v>
      </c>
      <c r="AF296">
        <v>5.1000000000000004E-4</v>
      </c>
      <c r="AG296">
        <v>7.9750000000000001E-2</v>
      </c>
      <c r="AH296">
        <v>7.9119999999999996E-2</v>
      </c>
      <c r="AI296">
        <v>2.0000000000000001E-4</v>
      </c>
      <c r="AJ296">
        <v>4.2999999999999999E-4</v>
      </c>
    </row>
    <row r="297" spans="2:36" hidden="1">
      <c r="C297" t="s">
        <v>386</v>
      </c>
      <c r="D297" t="s">
        <v>384</v>
      </c>
      <c r="E297">
        <v>0.17061000000000001</v>
      </c>
      <c r="F297">
        <v>0.16877</v>
      </c>
      <c r="G297">
        <v>4.3200000000000001E-6</v>
      </c>
      <c r="H297">
        <v>1.8400000000000001E-3</v>
      </c>
      <c r="I297">
        <v>0.19228000000000001</v>
      </c>
      <c r="J297">
        <v>0.19158</v>
      </c>
      <c r="K297">
        <v>3.2000000000000003E-4</v>
      </c>
      <c r="L297">
        <v>3.8000000000000002E-4</v>
      </c>
      <c r="M297">
        <v>0.10895000000000001</v>
      </c>
      <c r="N297">
        <v>0.10764</v>
      </c>
      <c r="O297">
        <v>1.4999999999999999E-4</v>
      </c>
      <c r="P297">
        <v>1.16E-3</v>
      </c>
      <c r="Q297">
        <v>0.16175999999999999</v>
      </c>
      <c r="R297">
        <v>0.15972</v>
      </c>
      <c r="S297">
        <v>1.5900000000000001E-3</v>
      </c>
      <c r="T297">
        <v>4.4999999999999999E-4</v>
      </c>
      <c r="U297">
        <v>0.18065999999999999</v>
      </c>
      <c r="V297">
        <v>0.18015999999999999</v>
      </c>
      <c r="W297">
        <v>5.0000000000000002E-5</v>
      </c>
      <c r="X297">
        <v>4.4999999999999999E-4</v>
      </c>
      <c r="Y297">
        <v>0.18071000000000001</v>
      </c>
      <c r="Z297">
        <v>0.1794</v>
      </c>
      <c r="AA297">
        <v>1.4999999999999999E-4</v>
      </c>
      <c r="AB297">
        <v>1.16E-3</v>
      </c>
      <c r="AC297">
        <v>0.10998000000000001</v>
      </c>
      <c r="AD297">
        <v>0.10924</v>
      </c>
      <c r="AE297">
        <v>3.1E-4</v>
      </c>
      <c r="AF297">
        <v>4.2999999999999999E-4</v>
      </c>
      <c r="AG297">
        <v>5.7689999999999998E-2</v>
      </c>
      <c r="AH297">
        <v>5.7230000000000003E-2</v>
      </c>
      <c r="AI297">
        <v>1.4999999999999999E-4</v>
      </c>
      <c r="AJ297">
        <v>3.1E-4</v>
      </c>
    </row>
    <row r="298" spans="2:36" hidden="1">
      <c r="D298" t="s">
        <v>385</v>
      </c>
      <c r="E298">
        <v>0.27459</v>
      </c>
      <c r="F298">
        <v>0.27161000000000002</v>
      </c>
      <c r="G298">
        <v>1.0000000000000001E-5</v>
      </c>
      <c r="H298">
        <v>2.97E-3</v>
      </c>
      <c r="I298">
        <v>0.30945</v>
      </c>
      <c r="J298">
        <v>0.30832999999999999</v>
      </c>
      <c r="K298">
        <v>5.1000000000000004E-4</v>
      </c>
      <c r="L298">
        <v>6.0999999999999997E-4</v>
      </c>
      <c r="M298">
        <v>0.17534</v>
      </c>
      <c r="N298">
        <v>0.17323</v>
      </c>
      <c r="O298">
        <v>2.4000000000000001E-4</v>
      </c>
      <c r="P298">
        <v>1.8699999999999999E-3</v>
      </c>
      <c r="Q298">
        <v>0.26034000000000002</v>
      </c>
      <c r="R298">
        <v>0.25705</v>
      </c>
      <c r="S298">
        <v>2.5699999999999998E-3</v>
      </c>
      <c r="T298">
        <v>7.2000000000000005E-4</v>
      </c>
      <c r="U298">
        <v>0.29073000000000004</v>
      </c>
      <c r="V298">
        <v>0.28993000000000002</v>
      </c>
      <c r="W298">
        <v>8.0000000000000007E-5</v>
      </c>
      <c r="X298">
        <v>7.2000000000000005E-4</v>
      </c>
      <c r="Y298">
        <v>0.29082000000000002</v>
      </c>
      <c r="Z298">
        <v>0.28871000000000002</v>
      </c>
      <c r="AA298">
        <v>2.4000000000000001E-4</v>
      </c>
      <c r="AB298">
        <v>1.8699999999999999E-3</v>
      </c>
      <c r="AC298">
        <v>0.17699000000000001</v>
      </c>
      <c r="AD298">
        <v>0.17580000000000001</v>
      </c>
      <c r="AE298">
        <v>5.0000000000000001E-4</v>
      </c>
      <c r="AF298">
        <v>6.8999999999999997E-4</v>
      </c>
      <c r="AG298">
        <v>9.282E-2</v>
      </c>
      <c r="AH298">
        <v>9.2090000000000005E-2</v>
      </c>
      <c r="AI298">
        <v>2.3000000000000001E-4</v>
      </c>
      <c r="AJ298">
        <v>5.0000000000000001E-4</v>
      </c>
    </row>
    <row r="299" spans="2:36" hidden="1">
      <c r="C299" t="s">
        <v>387</v>
      </c>
      <c r="D299" t="s">
        <v>384</v>
      </c>
      <c r="E299">
        <v>0.20946999999999999</v>
      </c>
      <c r="F299">
        <v>0.20763000000000001</v>
      </c>
      <c r="G299">
        <v>4.3200000000000001E-6</v>
      </c>
      <c r="H299">
        <v>1.8400000000000001E-3</v>
      </c>
      <c r="I299">
        <v>0.28294999999999998</v>
      </c>
      <c r="J299">
        <v>0.28225</v>
      </c>
      <c r="K299">
        <v>3.2000000000000003E-4</v>
      </c>
      <c r="L299">
        <v>3.8000000000000002E-4</v>
      </c>
      <c r="M299">
        <v>0.13177</v>
      </c>
      <c r="N299">
        <v>0.13022</v>
      </c>
      <c r="O299">
        <v>9.0000000000000006E-5</v>
      </c>
      <c r="P299">
        <v>1.4599999999999999E-3</v>
      </c>
      <c r="Q299">
        <v>0.23735000000000001</v>
      </c>
      <c r="R299">
        <v>0.23530999999999999</v>
      </c>
      <c r="S299">
        <v>1.5900000000000001E-3</v>
      </c>
      <c r="T299">
        <v>4.4999999999999999E-4</v>
      </c>
      <c r="U299">
        <v>0.26590999999999998</v>
      </c>
      <c r="V299">
        <v>0.26540999999999998</v>
      </c>
      <c r="W299">
        <v>5.0000000000000002E-5</v>
      </c>
      <c r="X299">
        <v>4.4999999999999999E-4</v>
      </c>
      <c r="Y299">
        <v>0.22857</v>
      </c>
      <c r="Z299">
        <v>0.22702</v>
      </c>
      <c r="AA299">
        <v>9.0000000000000006E-5</v>
      </c>
      <c r="AB299">
        <v>1.4599999999999999E-3</v>
      </c>
      <c r="AC299">
        <v>0.12567</v>
      </c>
      <c r="AD299">
        <v>0.12483</v>
      </c>
      <c r="AE299">
        <v>3.6000000000000002E-4</v>
      </c>
      <c r="AF299">
        <v>4.8000000000000001E-4</v>
      </c>
      <c r="AG299">
        <v>7.2559999999999999E-2</v>
      </c>
      <c r="AH299">
        <v>7.1989999999999998E-2</v>
      </c>
      <c r="AI299">
        <v>1.8000000000000001E-4</v>
      </c>
      <c r="AJ299">
        <v>3.8999999999999999E-4</v>
      </c>
    </row>
    <row r="300" spans="2:36" hidden="1">
      <c r="D300" t="s">
        <v>385</v>
      </c>
      <c r="E300">
        <v>0.33712999999999999</v>
      </c>
      <c r="F300">
        <v>0.33415</v>
      </c>
      <c r="G300">
        <v>1.0000000000000001E-5</v>
      </c>
      <c r="H300">
        <v>2.97E-3</v>
      </c>
      <c r="I300">
        <v>0.45535999999999999</v>
      </c>
      <c r="J300">
        <v>0.45423999999999998</v>
      </c>
      <c r="K300">
        <v>5.1000000000000004E-4</v>
      </c>
      <c r="L300">
        <v>6.0999999999999997E-4</v>
      </c>
      <c r="M300">
        <v>0.21207000000000001</v>
      </c>
      <c r="N300">
        <v>0.20957000000000001</v>
      </c>
      <c r="O300">
        <v>1.3999999999999999E-4</v>
      </c>
      <c r="P300">
        <v>2.3600000000000001E-3</v>
      </c>
      <c r="Q300">
        <v>0.38198000000000004</v>
      </c>
      <c r="R300">
        <v>0.37869000000000003</v>
      </c>
      <c r="S300">
        <v>2.5699999999999998E-3</v>
      </c>
      <c r="T300">
        <v>7.2000000000000005E-4</v>
      </c>
      <c r="U300">
        <v>0.42794000000000004</v>
      </c>
      <c r="V300">
        <v>0.42714000000000002</v>
      </c>
      <c r="W300">
        <v>8.0000000000000007E-5</v>
      </c>
      <c r="X300">
        <v>7.2000000000000005E-4</v>
      </c>
      <c r="Y300">
        <v>0.36784999999999995</v>
      </c>
      <c r="Z300">
        <v>0.36535000000000001</v>
      </c>
      <c r="AA300">
        <v>1.3999999999999999E-4</v>
      </c>
      <c r="AB300">
        <v>2.3600000000000001E-3</v>
      </c>
      <c r="AC300">
        <v>0.20224999999999999</v>
      </c>
      <c r="AD300">
        <v>0.2009</v>
      </c>
      <c r="AE300">
        <v>5.6999999999999998E-4</v>
      </c>
      <c r="AF300">
        <v>7.7999999999999999E-4</v>
      </c>
      <c r="AG300">
        <v>0.11677</v>
      </c>
      <c r="AH300">
        <v>0.11584999999999999</v>
      </c>
      <c r="AI300">
        <v>2.9E-4</v>
      </c>
      <c r="AJ300">
        <v>6.3000000000000003E-4</v>
      </c>
    </row>
    <row r="301" spans="2:36" hidden="1">
      <c r="C301" t="s">
        <v>388</v>
      </c>
      <c r="D301" t="s">
        <v>384</v>
      </c>
      <c r="E301">
        <v>0.17335999999999999</v>
      </c>
      <c r="F301">
        <v>0.17152000000000001</v>
      </c>
      <c r="G301">
        <v>4.3200000000000001E-6</v>
      </c>
      <c r="H301">
        <v>1.8400000000000001E-3</v>
      </c>
      <c r="I301">
        <v>0.18084</v>
      </c>
      <c r="J301">
        <v>0.18013999999999999</v>
      </c>
      <c r="K301">
        <v>3.2000000000000003E-4</v>
      </c>
      <c r="L301">
        <v>3.8000000000000002E-4</v>
      </c>
      <c r="M301">
        <v>0.11473</v>
      </c>
      <c r="N301">
        <v>0.11346000000000001</v>
      </c>
      <c r="O301">
        <v>1.6000000000000001E-4</v>
      </c>
      <c r="P301">
        <v>1.1100000000000001E-3</v>
      </c>
      <c r="Q301">
        <v>0.17802999999999999</v>
      </c>
      <c r="R301">
        <v>0.17599000000000001</v>
      </c>
      <c r="S301">
        <v>1.5900000000000001E-3</v>
      </c>
      <c r="T301">
        <v>4.4999999999999999E-4</v>
      </c>
      <c r="U301">
        <v>0.19900999999999999</v>
      </c>
      <c r="V301">
        <v>0.19850999999999999</v>
      </c>
      <c r="W301">
        <v>5.0000000000000002E-5</v>
      </c>
      <c r="X301">
        <v>4.4999999999999999E-4</v>
      </c>
      <c r="Y301">
        <v>0.17710000000000001</v>
      </c>
      <c r="Z301">
        <v>0.17582999999999999</v>
      </c>
      <c r="AA301">
        <v>1.6000000000000001E-4</v>
      </c>
      <c r="AB301">
        <v>1.1100000000000001E-3</v>
      </c>
      <c r="AC301">
        <v>0.11532000000000001</v>
      </c>
      <c r="AD301">
        <v>0.11454</v>
      </c>
      <c r="AE301">
        <v>3.3E-4</v>
      </c>
      <c r="AF301">
        <v>4.4999999999999999E-4</v>
      </c>
      <c r="AG301">
        <v>6.0199999999999997E-2</v>
      </c>
      <c r="AH301">
        <v>5.9729999999999998E-2</v>
      </c>
      <c r="AI301">
        <v>1.4999999999999999E-4</v>
      </c>
      <c r="AJ301">
        <v>3.2000000000000003E-4</v>
      </c>
    </row>
    <row r="302" spans="2:36" hidden="1">
      <c r="D302" t="s">
        <v>385</v>
      </c>
      <c r="E302">
        <v>0.27900999999999998</v>
      </c>
      <c r="F302">
        <v>0.27603</v>
      </c>
      <c r="G302">
        <v>1.0000000000000001E-5</v>
      </c>
      <c r="H302">
        <v>2.97E-3</v>
      </c>
      <c r="I302">
        <v>0.29103000000000001</v>
      </c>
      <c r="J302">
        <v>0.28991</v>
      </c>
      <c r="K302">
        <v>5.1000000000000004E-4</v>
      </c>
      <c r="L302">
        <v>6.0999999999999997E-4</v>
      </c>
      <c r="M302">
        <v>0.18464000000000003</v>
      </c>
      <c r="N302">
        <v>0.18259</v>
      </c>
      <c r="O302">
        <v>2.5999999999999998E-4</v>
      </c>
      <c r="P302">
        <v>1.7899999999999999E-3</v>
      </c>
      <c r="Q302">
        <v>0.28653000000000001</v>
      </c>
      <c r="R302">
        <v>0.28323999999999999</v>
      </c>
      <c r="S302">
        <v>2.5699999999999998E-3</v>
      </c>
      <c r="T302">
        <v>7.2000000000000005E-4</v>
      </c>
      <c r="U302">
        <v>0.32027</v>
      </c>
      <c r="V302">
        <v>0.31946999999999998</v>
      </c>
      <c r="W302">
        <v>8.0000000000000007E-5</v>
      </c>
      <c r="X302">
        <v>7.2000000000000005E-4</v>
      </c>
      <c r="Y302">
        <v>0.28502</v>
      </c>
      <c r="Z302">
        <v>0.28297</v>
      </c>
      <c r="AA302">
        <v>2.5999999999999998E-4</v>
      </c>
      <c r="AB302">
        <v>1.7899999999999999E-3</v>
      </c>
      <c r="AC302">
        <v>0.18559</v>
      </c>
      <c r="AD302">
        <v>0.18434</v>
      </c>
      <c r="AE302">
        <v>5.2999999999999998E-4</v>
      </c>
      <c r="AF302">
        <v>7.2000000000000005E-4</v>
      </c>
      <c r="AG302">
        <v>9.6880000000000008E-2</v>
      </c>
      <c r="AH302">
        <v>9.6119999999999997E-2</v>
      </c>
      <c r="AI302">
        <v>2.4000000000000001E-4</v>
      </c>
      <c r="AJ302">
        <v>5.1999999999999995E-4</v>
      </c>
    </row>
    <row r="303" spans="2:36" hidden="1"/>
    <row r="304" spans="2:36" hidden="1"/>
    <row r="305" spans="2:8" hidden="1"/>
    <row r="306" spans="2:8" hidden="1">
      <c r="B306" t="s">
        <v>354</v>
      </c>
      <c r="C306" t="s">
        <v>369</v>
      </c>
      <c r="D306" t="s">
        <v>194</v>
      </c>
      <c r="E306" t="s">
        <v>357</v>
      </c>
      <c r="F306" t="s">
        <v>246</v>
      </c>
      <c r="G306" t="s">
        <v>247</v>
      </c>
      <c r="H306" t="s">
        <v>248</v>
      </c>
    </row>
    <row r="307" spans="2:8" hidden="1">
      <c r="B307" t="s">
        <v>389</v>
      </c>
      <c r="C307" t="s">
        <v>390</v>
      </c>
      <c r="D307" t="s">
        <v>384</v>
      </c>
      <c r="E307">
        <v>8.4449999999999997E-2</v>
      </c>
      <c r="F307">
        <v>8.2409999999999997E-2</v>
      </c>
      <c r="G307">
        <v>1.74E-3</v>
      </c>
      <c r="H307">
        <v>2.9999999999999997E-4</v>
      </c>
    </row>
    <row r="308" spans="2:8" hidden="1">
      <c r="D308" t="s">
        <v>385</v>
      </c>
      <c r="E308">
        <v>0.13591</v>
      </c>
      <c r="F308">
        <v>0.13263</v>
      </c>
      <c r="G308">
        <v>2.8E-3</v>
      </c>
      <c r="H308">
        <v>4.8000000000000001E-4</v>
      </c>
    </row>
    <row r="309" spans="2:8" hidden="1">
      <c r="C309" t="s">
        <v>391</v>
      </c>
      <c r="D309" t="s">
        <v>384</v>
      </c>
      <c r="E309">
        <v>0.10289000000000001</v>
      </c>
      <c r="F309">
        <v>0.10004</v>
      </c>
      <c r="G309">
        <v>2.2499999999999998E-3</v>
      </c>
      <c r="H309">
        <v>5.9999999999999995E-4</v>
      </c>
    </row>
    <row r="310" spans="2:8" hidden="1">
      <c r="D310" t="s">
        <v>385</v>
      </c>
      <c r="E310">
        <v>0.16559000000000001</v>
      </c>
      <c r="F310">
        <v>0.161</v>
      </c>
      <c r="G310">
        <v>3.62E-3</v>
      </c>
      <c r="H310">
        <v>9.7000000000000005E-4</v>
      </c>
    </row>
    <row r="311" spans="2:8" hidden="1">
      <c r="C311" t="s">
        <v>392</v>
      </c>
      <c r="D311" t="s">
        <v>384</v>
      </c>
      <c r="E311">
        <v>0.13500999999999999</v>
      </c>
      <c r="F311">
        <v>0.13308</v>
      </c>
      <c r="G311">
        <v>1.33E-3</v>
      </c>
      <c r="H311">
        <v>5.9999999999999995E-4</v>
      </c>
    </row>
    <row r="312" spans="2:8" hidden="1">
      <c r="D312" t="s">
        <v>385</v>
      </c>
      <c r="E312">
        <v>0.21729000000000001</v>
      </c>
      <c r="F312">
        <v>0.21418000000000001</v>
      </c>
      <c r="G312">
        <v>2.14E-3</v>
      </c>
      <c r="H312">
        <v>9.7000000000000005E-4</v>
      </c>
    </row>
    <row r="313" spans="2:8" hidden="1">
      <c r="C313" t="s">
        <v>393</v>
      </c>
      <c r="D313" t="s">
        <v>384</v>
      </c>
      <c r="E313">
        <v>0.11551</v>
      </c>
      <c r="F313">
        <v>0.11314</v>
      </c>
      <c r="G313">
        <v>1.7799999999999999E-3</v>
      </c>
      <c r="H313">
        <v>5.9000000000000003E-4</v>
      </c>
    </row>
    <row r="314" spans="2:8" hidden="1">
      <c r="D314" t="s">
        <v>385</v>
      </c>
      <c r="E314">
        <v>0.18589</v>
      </c>
      <c r="F314">
        <v>0.18207999999999999</v>
      </c>
      <c r="G314">
        <v>2.8600000000000001E-3</v>
      </c>
      <c r="H314">
        <v>9.5E-4</v>
      </c>
    </row>
    <row r="315" spans="2:8" hidden="1"/>
    <row r="316" spans="2:8" hidden="1"/>
    <row r="317" spans="2:8" hidden="1"/>
    <row r="318" spans="2:8" hidden="1">
      <c r="B318" t="s">
        <v>354</v>
      </c>
      <c r="C318" t="s">
        <v>369</v>
      </c>
      <c r="D318" t="s">
        <v>194</v>
      </c>
      <c r="E318" t="s">
        <v>357</v>
      </c>
      <c r="F318" t="s">
        <v>246</v>
      </c>
      <c r="G318" t="s">
        <v>247</v>
      </c>
      <c r="H318" t="s">
        <v>248</v>
      </c>
    </row>
    <row r="319" spans="2:8" hidden="1">
      <c r="B319" t="s">
        <v>394</v>
      </c>
      <c r="C319" t="s">
        <v>395</v>
      </c>
      <c r="D319" t="s">
        <v>361</v>
      </c>
      <c r="E319">
        <v>0.15018000000000001</v>
      </c>
      <c r="F319">
        <v>0.14885999999999999</v>
      </c>
      <c r="G319">
        <v>3.0800000000000002E-6</v>
      </c>
      <c r="H319">
        <v>1.32E-3</v>
      </c>
    </row>
    <row r="320" spans="2:8" hidden="1">
      <c r="D320" t="s">
        <v>384</v>
      </c>
      <c r="E320">
        <v>0.21024000000000001</v>
      </c>
      <c r="F320">
        <v>0.2084</v>
      </c>
      <c r="G320">
        <v>4.3200000000000001E-6</v>
      </c>
      <c r="H320">
        <v>1.8400000000000001E-3</v>
      </c>
    </row>
    <row r="321" spans="2:8" hidden="1">
      <c r="C321" t="s">
        <v>396</v>
      </c>
      <c r="D321" t="s">
        <v>361</v>
      </c>
      <c r="E321">
        <v>0.21176</v>
      </c>
      <c r="F321">
        <v>0.21052999999999999</v>
      </c>
      <c r="G321">
        <v>2.88E-6</v>
      </c>
      <c r="H321">
        <v>1.23E-3</v>
      </c>
    </row>
    <row r="322" spans="2:8" hidden="1">
      <c r="D322" t="s">
        <v>384</v>
      </c>
      <c r="E322">
        <v>0.31763999999999998</v>
      </c>
      <c r="F322">
        <v>0.31580000000000003</v>
      </c>
      <c r="G322">
        <v>4.3200000000000001E-6</v>
      </c>
      <c r="H322">
        <v>1.8400000000000001E-3</v>
      </c>
    </row>
    <row r="323" spans="2:8" hidden="1"/>
    <row r="324" spans="2:8" hidden="1"/>
    <row r="325" spans="2:8" hidden="1"/>
    <row r="326" spans="2:8" hidden="1">
      <c r="B326" t="s">
        <v>354</v>
      </c>
      <c r="C326" t="s">
        <v>369</v>
      </c>
      <c r="D326" t="s">
        <v>194</v>
      </c>
      <c r="E326" t="s">
        <v>357</v>
      </c>
      <c r="F326" t="s">
        <v>246</v>
      </c>
      <c r="G326" t="s">
        <v>247</v>
      </c>
      <c r="H326" t="s">
        <v>248</v>
      </c>
    </row>
    <row r="327" spans="2:8" hidden="1">
      <c r="B327" t="s">
        <v>397</v>
      </c>
      <c r="C327" t="s">
        <v>398</v>
      </c>
      <c r="D327" t="s">
        <v>361</v>
      </c>
      <c r="E327">
        <v>0.12076000000000001</v>
      </c>
      <c r="F327">
        <v>0.11974</v>
      </c>
      <c r="G327">
        <v>3.0000000000000001E-5</v>
      </c>
      <c r="H327">
        <v>9.8999999999999999E-4</v>
      </c>
    </row>
    <row r="328" spans="2:8" hidden="1">
      <c r="C328" t="s">
        <v>399</v>
      </c>
      <c r="D328" t="s">
        <v>361</v>
      </c>
      <c r="E328">
        <v>8.2079999999999986E-2</v>
      </c>
      <c r="F328">
        <v>8.1629999999999994E-2</v>
      </c>
      <c r="G328">
        <v>1.0000000000000001E-5</v>
      </c>
      <c r="H328">
        <v>4.4000000000000002E-4</v>
      </c>
    </row>
    <row r="329" spans="2:8" hidden="1">
      <c r="C329" t="s">
        <v>400</v>
      </c>
      <c r="D329" t="s">
        <v>361</v>
      </c>
      <c r="E329">
        <v>0.10471000000000001</v>
      </c>
      <c r="F329">
        <v>0.10391</v>
      </c>
      <c r="G329">
        <v>3.0000000000000001E-5</v>
      </c>
      <c r="H329">
        <v>7.6999999999999996E-4</v>
      </c>
    </row>
    <row r="330" spans="2:8" hidden="1">
      <c r="C330" t="s">
        <v>401</v>
      </c>
      <c r="D330" t="s">
        <v>361</v>
      </c>
      <c r="E330">
        <v>2.7789999999999999E-2</v>
      </c>
      <c r="F330">
        <v>2.7279999999999999E-2</v>
      </c>
      <c r="G330">
        <v>2.0000000000000002E-5</v>
      </c>
      <c r="H330">
        <v>4.8999999999999998E-4</v>
      </c>
    </row>
    <row r="331" spans="2:8" hidden="1"/>
    <row r="332" spans="2:8" hidden="1"/>
    <row r="333" spans="2:8" hidden="1"/>
    <row r="334" spans="2:8" hidden="1">
      <c r="B334" t="s">
        <v>354</v>
      </c>
      <c r="C334" t="s">
        <v>369</v>
      </c>
      <c r="D334" t="s">
        <v>194</v>
      </c>
      <c r="E334" t="s">
        <v>357</v>
      </c>
      <c r="F334" t="s">
        <v>246</v>
      </c>
      <c r="G334" t="s">
        <v>247</v>
      </c>
      <c r="H334" t="s">
        <v>248</v>
      </c>
    </row>
    <row r="335" spans="2:8" hidden="1">
      <c r="B335" t="s">
        <v>402</v>
      </c>
      <c r="C335" t="s">
        <v>403</v>
      </c>
      <c r="D335" t="s">
        <v>361</v>
      </c>
      <c r="E335">
        <v>4.1149999999999999E-2</v>
      </c>
      <c r="F335">
        <v>4.0770000000000001E-2</v>
      </c>
      <c r="G335">
        <v>6.9999999999999994E-5</v>
      </c>
      <c r="H335">
        <v>3.1E-4</v>
      </c>
    </row>
    <row r="336" spans="2:8" hidden="1">
      <c r="C336" t="s">
        <v>404</v>
      </c>
      <c r="D336" t="s">
        <v>361</v>
      </c>
      <c r="E336">
        <v>5.9699999999999996E-3</v>
      </c>
      <c r="F336">
        <v>5.9199999999999999E-3</v>
      </c>
      <c r="G336">
        <v>2.0000000000000002E-5</v>
      </c>
      <c r="H336">
        <v>3.0000000000000001E-5</v>
      </c>
    </row>
    <row r="337" spans="2:32" hidden="1">
      <c r="C337" t="s">
        <v>405</v>
      </c>
      <c r="D337" t="s">
        <v>361</v>
      </c>
      <c r="E337">
        <v>3.508E-2</v>
      </c>
      <c r="F337">
        <v>3.4799999999999998E-2</v>
      </c>
      <c r="G337">
        <v>9.0000000000000006E-5</v>
      </c>
      <c r="H337">
        <v>1.9000000000000001E-4</v>
      </c>
    </row>
    <row r="338" spans="2:32" hidden="1">
      <c r="C338" t="s">
        <v>406</v>
      </c>
      <c r="D338" t="s">
        <v>361</v>
      </c>
      <c r="E338">
        <v>3.0839999999999999E-2</v>
      </c>
      <c r="F338">
        <v>3.0589999999999999E-2</v>
      </c>
      <c r="G338">
        <v>8.0000000000000007E-5</v>
      </c>
      <c r="H338">
        <v>1.7000000000000001E-4</v>
      </c>
    </row>
    <row r="339" spans="2:32" hidden="1"/>
    <row r="340" spans="2:32" hidden="1"/>
    <row r="341" spans="2:32" hidden="1"/>
    <row r="342" spans="2:32" hidden="1">
      <c r="B342" t="s">
        <v>407</v>
      </c>
      <c r="C342" t="s">
        <v>408</v>
      </c>
      <c r="D342" t="s">
        <v>409</v>
      </c>
      <c r="E342" t="s">
        <v>410</v>
      </c>
      <c r="F342" t="s">
        <v>411</v>
      </c>
      <c r="G342" t="s">
        <v>412</v>
      </c>
    </row>
    <row r="343" spans="2:32" hidden="1">
      <c r="E343" s="909" t="s">
        <v>374</v>
      </c>
      <c r="F343" s="909"/>
      <c r="G343" s="909"/>
      <c r="H343" s="909"/>
      <c r="I343" s="909" t="s">
        <v>375</v>
      </c>
      <c r="J343" s="909"/>
      <c r="K343" s="909"/>
      <c r="L343" s="909"/>
      <c r="M343" s="909" t="s">
        <v>377</v>
      </c>
      <c r="N343" s="909"/>
      <c r="O343" s="909"/>
      <c r="P343" s="909"/>
      <c r="Q343" s="909" t="s">
        <v>378</v>
      </c>
      <c r="R343" s="909"/>
      <c r="S343" s="909"/>
      <c r="T343" s="909"/>
      <c r="U343" s="909" t="s">
        <v>379</v>
      </c>
      <c r="V343" s="909"/>
      <c r="W343" s="909"/>
      <c r="X343" s="909"/>
      <c r="Y343" s="908" t="s">
        <v>380</v>
      </c>
      <c r="Z343" s="908"/>
      <c r="AA343" s="908"/>
      <c r="AB343" s="908"/>
      <c r="AC343" s="908" t="s">
        <v>381</v>
      </c>
      <c r="AD343" s="908"/>
      <c r="AE343" s="908"/>
      <c r="AF343" s="908"/>
    </row>
    <row r="344" spans="2:32" ht="18" hidden="1">
      <c r="E344" s="256" t="s">
        <v>413</v>
      </c>
      <c r="F344" s="256" t="s">
        <v>414</v>
      </c>
      <c r="G344" s="256" t="s">
        <v>415</v>
      </c>
      <c r="H344" s="256" t="s">
        <v>416</v>
      </c>
      <c r="I344" s="256" t="s">
        <v>413</v>
      </c>
      <c r="J344" s="256" t="s">
        <v>414</v>
      </c>
      <c r="K344" s="256" t="s">
        <v>415</v>
      </c>
      <c r="L344" s="256" t="s">
        <v>416</v>
      </c>
      <c r="M344" s="256" t="s">
        <v>413</v>
      </c>
      <c r="N344" s="256" t="s">
        <v>414</v>
      </c>
      <c r="O344" s="256" t="s">
        <v>415</v>
      </c>
      <c r="P344" s="256" t="s">
        <v>416</v>
      </c>
      <c r="Q344" s="256" t="s">
        <v>413</v>
      </c>
      <c r="R344" s="256" t="s">
        <v>414</v>
      </c>
      <c r="S344" s="256" t="s">
        <v>415</v>
      </c>
      <c r="T344" s="256" t="s">
        <v>416</v>
      </c>
      <c r="U344" s="256" t="s">
        <v>413</v>
      </c>
      <c r="V344" s="256" t="s">
        <v>414</v>
      </c>
      <c r="W344" s="256" t="s">
        <v>415</v>
      </c>
      <c r="X344" s="256" t="s">
        <v>416</v>
      </c>
      <c r="Y344" s="256" t="s">
        <v>413</v>
      </c>
      <c r="Z344" s="256" t="s">
        <v>414</v>
      </c>
      <c r="AA344" s="256" t="s">
        <v>415</v>
      </c>
      <c r="AB344" s="256" t="s">
        <v>416</v>
      </c>
      <c r="AC344" s="256" t="s">
        <v>413</v>
      </c>
      <c r="AD344" s="256" t="s">
        <v>414</v>
      </c>
      <c r="AE344" s="256" t="s">
        <v>415</v>
      </c>
      <c r="AF344" s="256" t="s">
        <v>416</v>
      </c>
    </row>
    <row r="345" spans="2:32" hidden="1">
      <c r="B345" t="s">
        <v>417</v>
      </c>
      <c r="C345" s="912" t="s">
        <v>418</v>
      </c>
      <c r="D345" s="253" t="s">
        <v>419</v>
      </c>
      <c r="E345" s="255">
        <v>0.62000999999999995</v>
      </c>
      <c r="F345" s="255">
        <v>0.61546999999999996</v>
      </c>
      <c r="G345" s="255">
        <v>1.0000000000000001E-5</v>
      </c>
      <c r="H345" s="255">
        <v>4.5199999999999997E-3</v>
      </c>
      <c r="I345" s="255">
        <v>0.76959999999999995</v>
      </c>
      <c r="J345" s="255">
        <v>0.76646999999999998</v>
      </c>
      <c r="K345" s="255">
        <v>8.3000000000000001E-4</v>
      </c>
      <c r="L345" s="255">
        <v>2.3E-3</v>
      </c>
      <c r="M345" s="255">
        <v>0.61038000000000003</v>
      </c>
      <c r="N345" s="255">
        <v>0.60519999999999996</v>
      </c>
      <c r="O345" s="255">
        <v>3.1199999999999999E-3</v>
      </c>
      <c r="P345" s="255">
        <v>2.0600000000000002E-3</v>
      </c>
      <c r="Q345" s="255">
        <v>0.67105999999999999</v>
      </c>
      <c r="R345" s="255">
        <v>0.66890000000000005</v>
      </c>
      <c r="S345" s="255">
        <v>1E-4</v>
      </c>
      <c r="T345" s="255">
        <v>2.0600000000000002E-3</v>
      </c>
      <c r="U345" s="255">
        <v>0.62485999999999997</v>
      </c>
      <c r="V345" s="255">
        <v>0.62039</v>
      </c>
      <c r="W345" s="255">
        <v>3.0000000000000001E-5</v>
      </c>
      <c r="X345" s="255">
        <v>4.4400000000000004E-3</v>
      </c>
      <c r="Y345" s="254"/>
      <c r="Z345" s="254"/>
      <c r="AA345" s="254"/>
      <c r="AB345" s="254"/>
      <c r="AC345" s="255">
        <v>0.36732000000000004</v>
      </c>
      <c r="AD345" s="255">
        <v>0.36442000000000002</v>
      </c>
      <c r="AE345" s="255">
        <v>9.3000000000000005E-4</v>
      </c>
      <c r="AF345" s="255">
        <v>1.97E-3</v>
      </c>
    </row>
    <row r="346" spans="2:32" hidden="1">
      <c r="B346" t="s">
        <v>417</v>
      </c>
      <c r="C346" s="912"/>
      <c r="D346" s="253" t="s">
        <v>384</v>
      </c>
      <c r="E346" s="255">
        <v>0.25213000000000002</v>
      </c>
      <c r="F346" s="255">
        <v>0.25028</v>
      </c>
      <c r="G346" s="255">
        <v>1.0000000000000001E-5</v>
      </c>
      <c r="H346" s="255">
        <v>1.8400000000000001E-3</v>
      </c>
      <c r="I346" s="255">
        <v>0.23644999999999999</v>
      </c>
      <c r="J346" s="255">
        <v>0.23549</v>
      </c>
      <c r="K346" s="255">
        <v>2.5000000000000001E-4</v>
      </c>
      <c r="L346" s="255">
        <v>7.1000000000000002E-4</v>
      </c>
      <c r="M346" s="255">
        <v>0.24779999999999999</v>
      </c>
      <c r="N346" s="255">
        <v>0.2457</v>
      </c>
      <c r="O346" s="255">
        <v>1.2700000000000001E-3</v>
      </c>
      <c r="P346" s="255">
        <v>8.4000000000000003E-4</v>
      </c>
      <c r="Q346" s="255">
        <v>0.27244000000000002</v>
      </c>
      <c r="R346" s="255">
        <v>0.27156000000000002</v>
      </c>
      <c r="S346" s="255">
        <v>4.0000000000000003E-5</v>
      </c>
      <c r="T346" s="255">
        <v>8.4000000000000003E-4</v>
      </c>
      <c r="U346" s="255">
        <v>0.25162000000000001</v>
      </c>
      <c r="V346" s="255">
        <v>0.24979999999999999</v>
      </c>
      <c r="W346" s="255">
        <v>1.0000000000000001E-5</v>
      </c>
      <c r="X346" s="255">
        <v>1.8E-3</v>
      </c>
      <c r="Y346" s="254"/>
      <c r="Z346" s="254"/>
      <c r="AA346" s="254"/>
      <c r="AB346" s="254"/>
      <c r="AC346" s="255">
        <v>6.2849999999999989E-2</v>
      </c>
      <c r="AD346" s="255">
        <v>6.2350000000000003E-2</v>
      </c>
      <c r="AE346" s="255">
        <v>1.6000000000000001E-4</v>
      </c>
      <c r="AF346" s="255">
        <v>3.4000000000000002E-4</v>
      </c>
    </row>
    <row r="347" spans="2:32" hidden="1">
      <c r="B347" t="s">
        <v>417</v>
      </c>
      <c r="C347" s="912"/>
      <c r="D347" s="253" t="s">
        <v>385</v>
      </c>
      <c r="E347" s="255">
        <v>0.40576000000000001</v>
      </c>
      <c r="F347" s="255">
        <v>0.40278999999999998</v>
      </c>
      <c r="G347" s="255">
        <v>1.0000000000000001E-5</v>
      </c>
      <c r="H347" s="255">
        <v>2.96E-3</v>
      </c>
      <c r="I347" s="255">
        <v>0.38052999999999998</v>
      </c>
      <c r="J347" s="255">
        <v>0.37897999999999998</v>
      </c>
      <c r="K347" s="255">
        <v>4.0999999999999999E-4</v>
      </c>
      <c r="L347" s="255">
        <v>1.14E-3</v>
      </c>
      <c r="M347" s="255">
        <v>0.39879999999999999</v>
      </c>
      <c r="N347" s="255">
        <v>0.39541999999999999</v>
      </c>
      <c r="O347" s="255">
        <v>2.0400000000000001E-3</v>
      </c>
      <c r="P347" s="255">
        <v>1.3500000000000001E-3</v>
      </c>
      <c r="Q347" s="255">
        <v>0.43845000000000001</v>
      </c>
      <c r="R347" s="255">
        <v>0.43703999999999998</v>
      </c>
      <c r="S347" s="255">
        <v>6.0000000000000002E-5</v>
      </c>
      <c r="T347" s="255">
        <v>1.3500000000000001E-3</v>
      </c>
      <c r="U347" s="255">
        <v>0.40494000000000002</v>
      </c>
      <c r="V347" s="255">
        <v>0.40200999999999998</v>
      </c>
      <c r="W347" s="255">
        <v>2.0000000000000002E-5</v>
      </c>
      <c r="X347" s="255">
        <v>2.8999999999999998E-3</v>
      </c>
      <c r="Y347" s="254"/>
      <c r="Z347" s="254"/>
      <c r="AA347" s="254"/>
      <c r="AB347" s="254"/>
      <c r="AC347" s="255">
        <v>0.10114999999999999</v>
      </c>
      <c r="AD347" s="255">
        <v>0.10034</v>
      </c>
      <c r="AE347" s="255">
        <v>2.5999999999999998E-4</v>
      </c>
      <c r="AF347" s="255">
        <v>5.5000000000000003E-4</v>
      </c>
    </row>
    <row r="348" spans="2:32" hidden="1"/>
    <row r="349" spans="2:32" hidden="1">
      <c r="E349" s="911" t="s">
        <v>420</v>
      </c>
      <c r="F349" s="911"/>
      <c r="G349" s="911"/>
      <c r="H349" s="911"/>
    </row>
    <row r="350" spans="2:32" ht="18" hidden="1">
      <c r="E350" s="258" t="s">
        <v>413</v>
      </c>
      <c r="F350" s="258" t="s">
        <v>414</v>
      </c>
      <c r="G350" s="258" t="s">
        <v>415</v>
      </c>
      <c r="H350" s="258" t="s">
        <v>416</v>
      </c>
    </row>
    <row r="351" spans="2:32" hidden="1">
      <c r="B351" t="s">
        <v>421</v>
      </c>
      <c r="C351" s="910" t="s">
        <v>422</v>
      </c>
      <c r="D351" s="257" t="s">
        <v>419</v>
      </c>
      <c r="E351" s="274">
        <v>0.11021</v>
      </c>
      <c r="F351" s="274">
        <v>0.10797</v>
      </c>
      <c r="G351" s="274">
        <v>4.0000000000000003E-5</v>
      </c>
      <c r="H351" s="274">
        <v>2.2000000000000001E-3</v>
      </c>
      <c r="K351" t="str">
        <f t="shared" ref="K351:K356" si="1">B351&amp;" - "&amp;D351</f>
        <v>HGV (all diesel) - tonne.km</v>
      </c>
      <c r="Q351" t="s">
        <v>407</v>
      </c>
    </row>
    <row r="352" spans="2:32" hidden="1">
      <c r="B352" t="s">
        <v>421</v>
      </c>
      <c r="C352" s="910"/>
      <c r="D352" s="257" t="s">
        <v>384</v>
      </c>
      <c r="E352" s="274">
        <v>0.86653999999999998</v>
      </c>
      <c r="F352" s="274">
        <v>0.85360999999999998</v>
      </c>
      <c r="G352" s="274">
        <v>1.7000000000000001E-4</v>
      </c>
      <c r="H352" s="274">
        <v>1.277E-2</v>
      </c>
      <c r="K352" t="str">
        <f t="shared" si="1"/>
        <v>HGV (all diesel) - km</v>
      </c>
      <c r="Q352" t="s">
        <v>408</v>
      </c>
    </row>
    <row r="353" spans="2:17" hidden="1">
      <c r="B353" t="s">
        <v>421</v>
      </c>
      <c r="C353" s="910"/>
      <c r="D353" s="257" t="s">
        <v>385</v>
      </c>
      <c r="E353" s="274">
        <v>1.39456</v>
      </c>
      <c r="F353" s="274">
        <v>1.37375</v>
      </c>
      <c r="G353" s="274">
        <v>2.7E-4</v>
      </c>
      <c r="H353" s="274">
        <v>2.0549999999999999E-2</v>
      </c>
      <c r="K353" t="str">
        <f t="shared" si="1"/>
        <v>HGV (all diesel) - miles</v>
      </c>
      <c r="Q353" t="s">
        <v>409</v>
      </c>
    </row>
    <row r="354" spans="2:17" hidden="1">
      <c r="B354" t="s">
        <v>423</v>
      </c>
      <c r="C354" s="906" t="s">
        <v>422</v>
      </c>
      <c r="D354" s="260" t="s">
        <v>419</v>
      </c>
      <c r="E354" s="274">
        <v>0.12908685272003873</v>
      </c>
      <c r="F354" s="274">
        <v>0.12684685272003871</v>
      </c>
      <c r="G354" s="274">
        <v>4.0000000000000003E-5</v>
      </c>
      <c r="H354" s="274">
        <v>2.2000000000000001E-3</v>
      </c>
      <c r="K354" t="str">
        <f t="shared" si="1"/>
        <v>HGV refrigerated (all diesel) - tonne.km</v>
      </c>
      <c r="Q354" t="s">
        <v>410</v>
      </c>
    </row>
    <row r="355" spans="2:17" hidden="1">
      <c r="B355" t="s">
        <v>423</v>
      </c>
      <c r="C355" s="906"/>
      <c r="D355" s="260" t="s">
        <v>384</v>
      </c>
      <c r="E355" s="274">
        <v>1.0157902542405506</v>
      </c>
      <c r="F355" s="274">
        <v>1.0028502542405506</v>
      </c>
      <c r="G355" s="274">
        <v>1.7000000000000001E-4</v>
      </c>
      <c r="H355" s="274">
        <v>1.277E-2</v>
      </c>
      <c r="K355" t="str">
        <f t="shared" si="1"/>
        <v>HGV refrigerated (all diesel) - km</v>
      </c>
      <c r="Q355" t="s">
        <v>411</v>
      </c>
    </row>
    <row r="356" spans="2:17" hidden="1">
      <c r="B356" t="s">
        <v>423</v>
      </c>
      <c r="C356" s="906"/>
      <c r="D356" s="260" t="s">
        <v>385</v>
      </c>
      <c r="E356" s="274">
        <v>1.63476</v>
      </c>
      <c r="F356" s="274">
        <v>1.6139300000000001</v>
      </c>
      <c r="G356" s="274">
        <v>2.7E-4</v>
      </c>
      <c r="H356" s="274">
        <v>2.0549999999999999E-2</v>
      </c>
      <c r="K356" t="str">
        <f t="shared" si="1"/>
        <v>HGV refrigerated (all diesel) - miles</v>
      </c>
      <c r="Q356" t="s">
        <v>412</v>
      </c>
    </row>
    <row r="357" spans="2:17" hidden="1">
      <c r="C357" s="262"/>
      <c r="D357" s="261"/>
      <c r="E357" s="259"/>
      <c r="F357" s="259"/>
      <c r="G357" s="259"/>
      <c r="H357" s="259"/>
    </row>
    <row r="358" spans="2:17" hidden="1">
      <c r="C358" s="262"/>
      <c r="D358" s="261"/>
      <c r="E358" s="907" t="s">
        <v>424</v>
      </c>
      <c r="F358" s="907"/>
      <c r="G358" s="907"/>
      <c r="H358" s="907"/>
    </row>
    <row r="359" spans="2:17" ht="18" hidden="1">
      <c r="E359" s="266" t="s">
        <v>413</v>
      </c>
      <c r="F359" s="266" t="s">
        <v>414</v>
      </c>
      <c r="G359" s="266" t="s">
        <v>415</v>
      </c>
      <c r="H359" s="266" t="s">
        <v>416</v>
      </c>
    </row>
    <row r="360" spans="2:17" hidden="1">
      <c r="B360" s="265" t="s">
        <v>425</v>
      </c>
      <c r="C360" s="264" t="s">
        <v>359</v>
      </c>
      <c r="D360" s="263" t="s">
        <v>419</v>
      </c>
      <c r="E360" s="267">
        <v>2.6427</v>
      </c>
      <c r="F360" s="267">
        <v>2.6156100000000002</v>
      </c>
      <c r="G360" s="267">
        <v>2.3400000000000001E-3</v>
      </c>
      <c r="H360" s="267">
        <v>2.4750000000000001E-2</v>
      </c>
      <c r="K360" t="str">
        <f>B360&amp;" - "&amp;C360</f>
        <v>Freight flights - Domestic, to/from UK</v>
      </c>
    </row>
    <row r="361" spans="2:17" hidden="1">
      <c r="B361" s="265" t="s">
        <v>425</v>
      </c>
      <c r="C361" s="264" t="s">
        <v>362</v>
      </c>
      <c r="D361" s="263" t="s">
        <v>419</v>
      </c>
      <c r="E361" s="267">
        <v>1.2580899999999999</v>
      </c>
      <c r="F361" s="267">
        <v>1.24621</v>
      </c>
      <c r="G361" s="267">
        <v>9.0000000000000006E-5</v>
      </c>
      <c r="H361" s="267">
        <v>1.179E-2</v>
      </c>
      <c r="K361" t="str">
        <f t="shared" ref="K361:K367" si="2">B361&amp;" - "&amp;C361</f>
        <v>Freight flights - Short-haul, to/from UK</v>
      </c>
    </row>
    <row r="362" spans="2:17" hidden="1">
      <c r="B362" s="265" t="s">
        <v>425</v>
      </c>
      <c r="C362" s="264" t="s">
        <v>365</v>
      </c>
      <c r="D362" s="263" t="s">
        <v>419</v>
      </c>
      <c r="E362" s="267">
        <v>0.59833000000000003</v>
      </c>
      <c r="F362" s="267">
        <v>0.59267999999999998</v>
      </c>
      <c r="G362" s="267">
        <v>4.0000000000000003E-5</v>
      </c>
      <c r="H362" s="267">
        <v>5.6100000000000004E-3</v>
      </c>
      <c r="K362" t="str">
        <f t="shared" si="2"/>
        <v>Freight flights - Long-haul, to/from UK</v>
      </c>
    </row>
    <row r="363" spans="2:17" hidden="1">
      <c r="B363" s="265" t="s">
        <v>425</v>
      </c>
      <c r="C363" s="264" t="s">
        <v>368</v>
      </c>
      <c r="D363" s="263" t="s">
        <v>419</v>
      </c>
      <c r="E363" s="267">
        <v>0.59833000000000003</v>
      </c>
      <c r="F363" s="267">
        <v>0.59267999999999998</v>
      </c>
      <c r="G363" s="267">
        <v>4.0000000000000003E-5</v>
      </c>
      <c r="H363" s="267">
        <v>5.6100000000000004E-3</v>
      </c>
      <c r="K363" t="str">
        <f t="shared" si="2"/>
        <v>Freight flights - International, to/from non-UK</v>
      </c>
    </row>
    <row r="364" spans="2:17" hidden="1"/>
    <row r="365" spans="2:17" hidden="1"/>
    <row r="366" spans="2:17" ht="18" hidden="1">
      <c r="B366" s="270" t="s">
        <v>354</v>
      </c>
      <c r="C366" s="273" t="s">
        <v>369</v>
      </c>
      <c r="D366" s="268" t="s">
        <v>194</v>
      </c>
      <c r="E366" s="269" t="s">
        <v>413</v>
      </c>
      <c r="F366" s="269" t="s">
        <v>414</v>
      </c>
      <c r="G366" s="269" t="s">
        <v>415</v>
      </c>
      <c r="H366" s="269" t="s">
        <v>416</v>
      </c>
    </row>
    <row r="367" spans="2:17" hidden="1">
      <c r="B367" s="271" t="s">
        <v>402</v>
      </c>
      <c r="C367" s="272" t="s">
        <v>426</v>
      </c>
      <c r="D367" s="269" t="s">
        <v>419</v>
      </c>
      <c r="E367" s="274">
        <v>3.3329999999999999E-2</v>
      </c>
      <c r="F367" s="274">
        <v>3.2989999999999998E-2</v>
      </c>
      <c r="G367" s="274">
        <v>3.0000000000000001E-5</v>
      </c>
      <c r="H367" s="274">
        <v>3.1E-4</v>
      </c>
      <c r="K367" t="str">
        <f t="shared" si="2"/>
        <v>Rail - Freight train</v>
      </c>
    </row>
    <row r="368" spans="2:17" hidden="1"/>
    <row r="369" spans="2:11" hidden="1"/>
    <row r="370" spans="2:11" ht="18" hidden="1">
      <c r="B370" s="277" t="s">
        <v>354</v>
      </c>
      <c r="C370" s="278" t="s">
        <v>369</v>
      </c>
      <c r="D370" s="275" t="s">
        <v>427</v>
      </c>
      <c r="E370" s="275" t="s">
        <v>194</v>
      </c>
      <c r="F370" s="276" t="s">
        <v>413</v>
      </c>
      <c r="G370" s="276" t="s">
        <v>414</v>
      </c>
      <c r="H370" s="276" t="s">
        <v>415</v>
      </c>
      <c r="I370" s="276" t="s">
        <v>416</v>
      </c>
    </row>
    <row r="371" spans="2:11" hidden="1">
      <c r="B371" t="s">
        <v>428</v>
      </c>
      <c r="C371" t="s">
        <v>429</v>
      </c>
      <c r="D371" s="279" t="s">
        <v>393</v>
      </c>
      <c r="E371" s="279" t="s">
        <v>419</v>
      </c>
      <c r="F371" s="280">
        <v>4.5720000000000005E-3</v>
      </c>
      <c r="G371" s="280">
        <v>4.5100000000000001E-3</v>
      </c>
      <c r="H371" s="280">
        <v>9.9999999999999995E-7</v>
      </c>
      <c r="I371" s="280">
        <v>6.0999999999999999E-5</v>
      </c>
      <c r="K371" t="str">
        <f>B371&amp;" - "&amp;C371&amp;" - "&amp;D371</f>
        <v>Sea Tanker - Crude Tanker - Average</v>
      </c>
    </row>
    <row r="372" spans="2:11" hidden="1">
      <c r="B372" t="s">
        <v>428</v>
      </c>
      <c r="C372" t="s">
        <v>430</v>
      </c>
      <c r="D372" s="281" t="s">
        <v>393</v>
      </c>
      <c r="E372" s="281" t="s">
        <v>419</v>
      </c>
      <c r="F372" s="282">
        <v>9.0339999999999986E-3</v>
      </c>
      <c r="G372" s="282">
        <v>8.9099999999999995E-3</v>
      </c>
      <c r="H372" s="282">
        <v>3.0000000000000001E-6</v>
      </c>
      <c r="I372" s="282">
        <v>1.21E-4</v>
      </c>
      <c r="K372" t="str">
        <f t="shared" ref="K372:K385" si="3">B372&amp;" - "&amp;C372&amp;" - "&amp;D372</f>
        <v>Sea Tanker - Products Tanker - Average</v>
      </c>
    </row>
    <row r="373" spans="2:11" hidden="1">
      <c r="B373" t="s">
        <v>428</v>
      </c>
      <c r="C373" t="s">
        <v>431</v>
      </c>
      <c r="D373" s="283" t="s">
        <v>393</v>
      </c>
      <c r="E373" s="283" t="s">
        <v>419</v>
      </c>
      <c r="F373" s="284">
        <v>1.0322E-2</v>
      </c>
      <c r="G373" s="284">
        <v>1.018E-2</v>
      </c>
      <c r="H373" s="284">
        <v>3.0000000000000001E-6</v>
      </c>
      <c r="I373" s="284">
        <v>1.3899999999999999E-4</v>
      </c>
      <c r="K373" t="str">
        <f t="shared" si="3"/>
        <v>Sea Tanker - Chemical Tanker - Average</v>
      </c>
    </row>
    <row r="374" spans="2:11" hidden="1">
      <c r="B374" t="s">
        <v>428</v>
      </c>
      <c r="C374" t="s">
        <v>432</v>
      </c>
      <c r="D374" s="285" t="s">
        <v>393</v>
      </c>
      <c r="E374" s="285" t="s">
        <v>419</v>
      </c>
      <c r="F374" s="286">
        <v>1.1548000000000001E-2</v>
      </c>
      <c r="G374" s="286">
        <v>1.1390000000000001E-2</v>
      </c>
      <c r="H374" s="286">
        <v>3.0000000000000001E-6</v>
      </c>
      <c r="I374" s="286">
        <v>1.55E-4</v>
      </c>
      <c r="K374" t="str">
        <f t="shared" si="3"/>
        <v>Sea Tanker - LNG Tanker - Average</v>
      </c>
    </row>
    <row r="375" spans="2:11" hidden="1">
      <c r="B375" t="s">
        <v>428</v>
      </c>
      <c r="C375" t="s">
        <v>433</v>
      </c>
      <c r="D375" s="287" t="s">
        <v>393</v>
      </c>
      <c r="E375" s="287" t="s">
        <v>419</v>
      </c>
      <c r="F375" s="288">
        <v>1.0383E-2</v>
      </c>
      <c r="G375" s="288">
        <v>1.0240000000000001E-2</v>
      </c>
      <c r="H375" s="288">
        <v>3.0000000000000001E-6</v>
      </c>
      <c r="I375" s="288">
        <v>1.3999999999999999E-4</v>
      </c>
      <c r="K375" t="str">
        <f t="shared" si="3"/>
        <v>Sea Tanker - LPG Tanker - Average</v>
      </c>
    </row>
    <row r="376" spans="2:11" hidden="1"/>
    <row r="377" spans="2:11" hidden="1"/>
    <row r="378" spans="2:11" ht="18" hidden="1">
      <c r="B378" s="291" t="s">
        <v>354</v>
      </c>
      <c r="C378" s="292" t="s">
        <v>369</v>
      </c>
      <c r="D378" s="289" t="s">
        <v>427</v>
      </c>
      <c r="E378" s="289" t="s">
        <v>194</v>
      </c>
      <c r="F378" s="290" t="s">
        <v>413</v>
      </c>
      <c r="G378" s="290" t="s">
        <v>414</v>
      </c>
      <c r="H378" s="290" t="s">
        <v>415</v>
      </c>
      <c r="I378" s="290" t="s">
        <v>416</v>
      </c>
    </row>
    <row r="379" spans="2:11" hidden="1">
      <c r="B379" t="s">
        <v>434</v>
      </c>
      <c r="C379" t="s">
        <v>435</v>
      </c>
      <c r="D379" s="293" t="s">
        <v>393</v>
      </c>
      <c r="E379" s="293" t="s">
        <v>419</v>
      </c>
      <c r="F379" s="294">
        <v>3.539E-3</v>
      </c>
      <c r="G379" s="294">
        <v>3.49E-3</v>
      </c>
      <c r="H379" s="294">
        <v>9.9999999999999995E-7</v>
      </c>
      <c r="I379" s="294">
        <v>4.8000000000000001E-5</v>
      </c>
      <c r="K379" t="str">
        <f t="shared" si="3"/>
        <v>Cargo Ship - Bulk Carrier - Average</v>
      </c>
    </row>
    <row r="380" spans="2:11" hidden="1">
      <c r="B380" t="s">
        <v>434</v>
      </c>
      <c r="C380" t="s">
        <v>436</v>
      </c>
      <c r="D380" s="295" t="s">
        <v>393</v>
      </c>
      <c r="E380" s="295" t="s">
        <v>419</v>
      </c>
      <c r="F380" s="296">
        <v>1.3232000000000001E-2</v>
      </c>
      <c r="G380" s="296">
        <v>1.3050000000000001E-2</v>
      </c>
      <c r="H380" s="296">
        <v>3.9999999999999998E-6</v>
      </c>
      <c r="I380" s="296">
        <v>1.7799999999999999E-4</v>
      </c>
      <c r="K380" t="str">
        <f t="shared" si="3"/>
        <v>Cargo Ship - General Cargo - Average</v>
      </c>
    </row>
    <row r="381" spans="2:11" hidden="1">
      <c r="B381" t="s">
        <v>434</v>
      </c>
      <c r="C381" t="s">
        <v>437</v>
      </c>
      <c r="D381" s="297" t="s">
        <v>393</v>
      </c>
      <c r="E381" s="297" t="s">
        <v>419</v>
      </c>
      <c r="F381" s="298">
        <v>1.6142E-2</v>
      </c>
      <c r="G381" s="298">
        <v>1.592E-2</v>
      </c>
      <c r="H381" s="298">
        <v>5.0000000000000004E-6</v>
      </c>
      <c r="I381" s="298">
        <v>2.1699999999999999E-4</v>
      </c>
      <c r="K381" t="str">
        <f t="shared" si="3"/>
        <v>Cargo Ship - Container Ship - Average</v>
      </c>
    </row>
    <row r="382" spans="2:11" hidden="1">
      <c r="B382" t="s">
        <v>434</v>
      </c>
      <c r="C382" t="s">
        <v>438</v>
      </c>
      <c r="D382" s="299" t="s">
        <v>393</v>
      </c>
      <c r="E382" s="299" t="s">
        <v>419</v>
      </c>
      <c r="F382" s="300">
        <v>3.8579999999999996E-2</v>
      </c>
      <c r="G382" s="300">
        <v>3.805E-2</v>
      </c>
      <c r="H382" s="300">
        <v>1.1E-5</v>
      </c>
      <c r="I382" s="300">
        <v>5.1900000000000004E-4</v>
      </c>
      <c r="K382" t="str">
        <f t="shared" si="3"/>
        <v>Cargo Ship - Vehicle Transport - Average</v>
      </c>
    </row>
    <row r="383" spans="2:11" hidden="1">
      <c r="B383" t="s">
        <v>434</v>
      </c>
      <c r="C383" t="s">
        <v>439</v>
      </c>
      <c r="D383" s="301" t="s">
        <v>393</v>
      </c>
      <c r="E383" s="301" t="s">
        <v>419</v>
      </c>
      <c r="F383" s="302">
        <v>5.1659000000000004E-2</v>
      </c>
      <c r="G383" s="302">
        <v>5.0950000000000002E-2</v>
      </c>
      <c r="H383" s="302">
        <v>1.5E-5</v>
      </c>
      <c r="I383" s="302">
        <v>6.9399999999999996E-4</v>
      </c>
      <c r="K383" t="str">
        <f t="shared" si="3"/>
        <v>Cargo Ship - RoRo-Ferry - Average</v>
      </c>
    </row>
    <row r="384" spans="2:11" hidden="1">
      <c r="B384" t="s">
        <v>434</v>
      </c>
      <c r="C384" t="s">
        <v>440</v>
      </c>
      <c r="D384" s="301" t="s">
        <v>393</v>
      </c>
      <c r="E384" s="301" t="s">
        <v>419</v>
      </c>
      <c r="F384" s="302">
        <v>0.37667400000000001</v>
      </c>
      <c r="G384" s="302">
        <v>0.3715</v>
      </c>
      <c r="H384" s="302">
        <v>1.12E-4</v>
      </c>
      <c r="I384" s="302">
        <v>5.0619999999999997E-3</v>
      </c>
      <c r="K384" t="str">
        <f t="shared" si="3"/>
        <v>Cargo Ship - Large RoPax Ferry - Average</v>
      </c>
    </row>
    <row r="385" spans="2:11" hidden="1">
      <c r="B385" t="s">
        <v>434</v>
      </c>
      <c r="C385" t="s">
        <v>441</v>
      </c>
      <c r="D385" s="301" t="s">
        <v>442</v>
      </c>
      <c r="E385" s="301" t="s">
        <v>419</v>
      </c>
      <c r="F385" s="302">
        <v>1.3080000000000001E-2</v>
      </c>
      <c r="G385" s="302">
        <v>1.29E-2</v>
      </c>
      <c r="H385" s="302">
        <v>3.9999999999999998E-6</v>
      </c>
      <c r="I385" s="302">
        <v>1.76E-4</v>
      </c>
      <c r="K385" t="str">
        <f t="shared" si="3"/>
        <v>Cargo Ship - Refrigerated Cargo -  All dwt</v>
      </c>
    </row>
    <row r="386" spans="2:11" hidden="1"/>
    <row r="387" spans="2:11" hidden="1"/>
    <row r="388" spans="2:11" hidden="1"/>
    <row r="389" spans="2:11" hidden="1"/>
    <row r="390" spans="2:11" hidden="1"/>
    <row r="391" spans="2:11" hidden="1"/>
    <row r="392" spans="2:11" hidden="1"/>
    <row r="393" spans="2:11" hidden="1">
      <c r="B393" t="s">
        <v>443</v>
      </c>
    </row>
    <row r="394" spans="2:11" hidden="1"/>
    <row r="395" spans="2:11" hidden="1">
      <c r="B395" t="s">
        <v>205</v>
      </c>
      <c r="C395" t="s">
        <v>444</v>
      </c>
      <c r="D395" t="s">
        <v>445</v>
      </c>
      <c r="E395" t="s">
        <v>446</v>
      </c>
      <c r="F395" t="s">
        <v>111</v>
      </c>
    </row>
    <row r="396" spans="2:11" hidden="1">
      <c r="B396" t="s">
        <v>447</v>
      </c>
      <c r="C396">
        <v>0.34300000000000003</v>
      </c>
      <c r="D396">
        <v>1.9E-2</v>
      </c>
      <c r="E396">
        <v>1.0999999999999999E-2</v>
      </c>
      <c r="F396" t="s">
        <v>448</v>
      </c>
    </row>
    <row r="397" spans="2:11" hidden="1">
      <c r="B397" t="s">
        <v>449</v>
      </c>
      <c r="C397">
        <v>0.47199999999999998</v>
      </c>
      <c r="D397">
        <v>1.9E-2</v>
      </c>
      <c r="E397">
        <v>1.7999999999999999E-2</v>
      </c>
      <c r="F397" t="s">
        <v>448</v>
      </c>
    </row>
    <row r="398" spans="2:11" hidden="1">
      <c r="B398" t="s">
        <v>450</v>
      </c>
      <c r="C398">
        <v>0.189</v>
      </c>
      <c r="D398">
        <v>7.0000000000000007E-2</v>
      </c>
      <c r="E398">
        <v>7.0000000000000001E-3</v>
      </c>
      <c r="F398" t="s">
        <v>448</v>
      </c>
    </row>
    <row r="399" spans="2:11" hidden="1">
      <c r="B399" t="s">
        <v>451</v>
      </c>
      <c r="C399">
        <v>0.14000000000000001</v>
      </c>
      <c r="D399">
        <v>8.6999999999999994E-3</v>
      </c>
      <c r="E399">
        <v>3.0999999999999999E-3</v>
      </c>
      <c r="F399" t="s">
        <v>452</v>
      </c>
    </row>
    <row r="400" spans="2:11" hidden="1">
      <c r="B400" t="s">
        <v>453</v>
      </c>
      <c r="C400">
        <v>0.161</v>
      </c>
      <c r="D400">
        <v>8.0999999999999996E-3</v>
      </c>
      <c r="E400">
        <v>3.2000000000000002E-3</v>
      </c>
      <c r="F400" t="s">
        <v>452</v>
      </c>
    </row>
    <row r="401" spans="2:6" hidden="1">
      <c r="B401" t="s">
        <v>454</v>
      </c>
      <c r="C401">
        <v>0.11899999999999999</v>
      </c>
      <c r="D401">
        <v>2.5000000000000001E-3</v>
      </c>
      <c r="E401">
        <v>1.6999999999999999E-3</v>
      </c>
      <c r="F401" t="s">
        <v>452</v>
      </c>
    </row>
    <row r="402" spans="2:6" hidden="1">
      <c r="B402" t="s">
        <v>397</v>
      </c>
      <c r="C402">
        <v>5.6000000000000001E-2</v>
      </c>
      <c r="D402">
        <v>1.2917147824303154E-3</v>
      </c>
      <c r="E402">
        <v>8.6692267277202364E-4</v>
      </c>
      <c r="F402" t="s">
        <v>452</v>
      </c>
    </row>
    <row r="403" spans="2:6" hidden="1">
      <c r="B403" t="s">
        <v>455</v>
      </c>
      <c r="C403">
        <v>0.22500000000000001</v>
      </c>
      <c r="D403">
        <v>3.8999999999999998E-3</v>
      </c>
      <c r="E403">
        <v>7.1753814281706558E-3</v>
      </c>
      <c r="F403" t="s">
        <v>452</v>
      </c>
    </row>
    <row r="404" spans="2:6" hidden="1">
      <c r="B404" t="s">
        <v>456</v>
      </c>
      <c r="C404">
        <v>0.13600000000000001</v>
      </c>
      <c r="D404">
        <v>5.9999999999999995E-4</v>
      </c>
      <c r="E404">
        <v>4.3E-3</v>
      </c>
      <c r="F404" t="s">
        <v>452</v>
      </c>
    </row>
    <row r="405" spans="2:6" hidden="1">
      <c r="B405" t="s">
        <v>457</v>
      </c>
      <c r="C405">
        <v>0.16600000000000001</v>
      </c>
      <c r="D405">
        <v>5.9999999999999995E-4</v>
      </c>
      <c r="E405">
        <v>5.3E-3</v>
      </c>
      <c r="F405" t="s">
        <v>452</v>
      </c>
    </row>
    <row r="406" spans="2:6" hidden="1">
      <c r="B406" t="s">
        <v>458</v>
      </c>
    </row>
    <row r="407" spans="2:6" hidden="1">
      <c r="B407" t="s">
        <v>459</v>
      </c>
    </row>
    <row r="408" spans="2:6" hidden="1"/>
    <row r="409" spans="2:6" hidden="1">
      <c r="B409" t="s">
        <v>460</v>
      </c>
    </row>
    <row r="410" spans="2:6" hidden="1"/>
    <row r="411" spans="2:6" hidden="1">
      <c r="B411" t="s">
        <v>205</v>
      </c>
      <c r="C411" t="s">
        <v>444</v>
      </c>
      <c r="D411" t="s">
        <v>445</v>
      </c>
      <c r="E411" t="s">
        <v>446</v>
      </c>
      <c r="F411" t="s">
        <v>111</v>
      </c>
    </row>
    <row r="412" spans="2:6" hidden="1">
      <c r="B412" t="s">
        <v>461</v>
      </c>
      <c r="C412">
        <v>1.4670000000000001</v>
      </c>
      <c r="D412">
        <v>1.4E-2</v>
      </c>
      <c r="E412">
        <v>0.01</v>
      </c>
      <c r="F412" t="s">
        <v>448</v>
      </c>
    </row>
    <row r="413" spans="2:6" hidden="1">
      <c r="B413" t="s">
        <v>447</v>
      </c>
      <c r="C413">
        <v>0.34300000000000003</v>
      </c>
      <c r="D413">
        <v>1.9E-2</v>
      </c>
      <c r="E413">
        <v>1.0999999999999999E-2</v>
      </c>
      <c r="F413" t="s">
        <v>448</v>
      </c>
    </row>
    <row r="414" spans="2:6" hidden="1">
      <c r="B414" t="s">
        <v>449</v>
      </c>
      <c r="C414">
        <v>0.47199999999999998</v>
      </c>
      <c r="D414">
        <v>1.9E-2</v>
      </c>
      <c r="E414">
        <v>1.7999999999999999E-2</v>
      </c>
      <c r="F414" t="s">
        <v>448</v>
      </c>
    </row>
    <row r="415" spans="2:6" hidden="1">
      <c r="B415" t="s">
        <v>462</v>
      </c>
      <c r="C415">
        <v>0.20233797801439316</v>
      </c>
      <c r="D415">
        <v>2.0038423175478401E-3</v>
      </c>
      <c r="E415">
        <v>1.5129681927794096E-3</v>
      </c>
      <c r="F415" t="s">
        <v>463</v>
      </c>
    </row>
    <row r="416" spans="2:6" hidden="1">
      <c r="B416" t="s">
        <v>402</v>
      </c>
      <c r="C416">
        <v>2.3E-2</v>
      </c>
      <c r="D416">
        <v>1.8E-3</v>
      </c>
      <c r="E416">
        <v>5.9999999999999995E-4</v>
      </c>
      <c r="F416" t="s">
        <v>463</v>
      </c>
    </row>
    <row r="417" spans="2:11" hidden="1">
      <c r="B417" t="s">
        <v>464</v>
      </c>
      <c r="C417">
        <v>5.8999999999999997E-2</v>
      </c>
      <c r="D417">
        <v>5.0000000000000001E-4</v>
      </c>
      <c r="E417">
        <v>4.0000000000000001E-3</v>
      </c>
      <c r="F417" t="s">
        <v>463</v>
      </c>
    </row>
    <row r="418" spans="2:11" hidden="1">
      <c r="B418" t="s">
        <v>465</v>
      </c>
      <c r="C418">
        <v>1.3080000000000001</v>
      </c>
      <c r="D418">
        <v>0</v>
      </c>
      <c r="E418">
        <v>4.02E-2</v>
      </c>
      <c r="F418" t="s">
        <v>463</v>
      </c>
    </row>
    <row r="420" spans="2:11">
      <c r="D420">
        <v>3</v>
      </c>
      <c r="E420">
        <v>4</v>
      </c>
      <c r="F420">
        <v>5</v>
      </c>
      <c r="G420">
        <v>6</v>
      </c>
      <c r="H420">
        <v>7</v>
      </c>
      <c r="I420">
        <v>8</v>
      </c>
      <c r="J420">
        <v>9</v>
      </c>
      <c r="K420">
        <v>10</v>
      </c>
    </row>
    <row r="421" spans="2:11" ht="38.25" thickBot="1">
      <c r="B421" s="466" t="s">
        <v>466</v>
      </c>
      <c r="C421" s="466" t="s">
        <v>319</v>
      </c>
      <c r="D421" s="467" t="s">
        <v>320</v>
      </c>
      <c r="E421" s="467" t="s">
        <v>467</v>
      </c>
      <c r="F421" s="467" t="s">
        <v>468</v>
      </c>
      <c r="G421" s="466" t="s">
        <v>469</v>
      </c>
      <c r="H421" s="467" t="s">
        <v>109</v>
      </c>
      <c r="I421" s="468" t="s">
        <v>110</v>
      </c>
      <c r="J421" s="466" t="s">
        <v>111</v>
      </c>
      <c r="K421" s="466" t="s">
        <v>112</v>
      </c>
    </row>
    <row r="422" spans="2:11" ht="15.75">
      <c r="B422" s="458" t="s">
        <v>447</v>
      </c>
      <c r="C422" s="459"/>
      <c r="D422" s="458">
        <v>0.34300000000000003</v>
      </c>
      <c r="E422" s="458">
        <v>1.9E-2</v>
      </c>
      <c r="F422" s="458">
        <v>1.0999999999999999E-2</v>
      </c>
      <c r="G422" s="459"/>
      <c r="H422" s="460">
        <f>(D422*Data!$AI$5)+((E422/1000)*Data!$AI$6)+((F422/1000)*Data!$AI$7)</f>
        <v>0.34653309999999998</v>
      </c>
      <c r="I422" s="461">
        <f>(D422*Data!$AJ$5)+((E422/1000)*Data!$AJ$6)+((F422/1000)*Data!$AJ$7)</f>
        <v>0.346447</v>
      </c>
      <c r="J422" s="458" t="s">
        <v>448</v>
      </c>
      <c r="K422" s="469" t="s">
        <v>470</v>
      </c>
    </row>
    <row r="423" spans="2:11" ht="15.75">
      <c r="B423" s="458" t="s">
        <v>449</v>
      </c>
      <c r="C423" s="459"/>
      <c r="D423" s="458">
        <v>0.47199999999999998</v>
      </c>
      <c r="E423" s="458">
        <v>1.9E-2</v>
      </c>
      <c r="F423" s="458">
        <v>1.7999999999999999E-2</v>
      </c>
      <c r="G423" s="459"/>
      <c r="H423" s="460">
        <f>(D423*Data!$AI$5)+((E423/1000)*Data!$AI$6)+((F423/1000)*Data!$AI$7)</f>
        <v>0.47744409999999993</v>
      </c>
      <c r="I423" s="461">
        <f>(D423*Data!$AJ$5)+((E423/1000)*Data!$AJ$6)+((F423/1000)*Data!$AJ$7)</f>
        <v>0.47730199999999995</v>
      </c>
      <c r="J423" s="458" t="s">
        <v>448</v>
      </c>
      <c r="K423" s="469" t="s">
        <v>470</v>
      </c>
    </row>
    <row r="424" spans="2:11" ht="15.75">
      <c r="B424" s="458" t="s">
        <v>450</v>
      </c>
      <c r="C424" s="459"/>
      <c r="D424" s="458">
        <v>0.189</v>
      </c>
      <c r="E424" s="458">
        <v>7.0000000000000007E-2</v>
      </c>
      <c r="F424" s="458">
        <v>7.0000000000000001E-3</v>
      </c>
      <c r="G424" s="459"/>
      <c r="H424" s="460">
        <f>(D424*Data!$AI$5)+((E424/1000)*Data!$AI$6)+((F424/1000)*Data!$AI$7)</f>
        <v>0.19286400000000001</v>
      </c>
      <c r="I424" s="461">
        <f>(D424*Data!$AJ$5)+((E424/1000)*Data!$AJ$6)+((F424/1000)*Data!$AJ$7)</f>
        <v>0.19281499999999999</v>
      </c>
      <c r="J424" s="458" t="s">
        <v>448</v>
      </c>
      <c r="K424" s="469" t="s">
        <v>470</v>
      </c>
    </row>
    <row r="425" spans="2:11" ht="15.75">
      <c r="B425" s="458" t="s">
        <v>451</v>
      </c>
      <c r="C425" s="459"/>
      <c r="D425" s="458">
        <v>0.14000000000000001</v>
      </c>
      <c r="E425" s="458">
        <v>8.6999999999999994E-3</v>
      </c>
      <c r="F425" s="458">
        <v>3.0999999999999999E-3</v>
      </c>
      <c r="G425" s="459"/>
      <c r="H425" s="460">
        <f>(D425*Data!$AI$5)+((E425/1000)*Data!$AI$6)+((F425/1000)*Data!$AI$7)</f>
        <v>0.14108903</v>
      </c>
      <c r="I425" s="461">
        <f>(D425*Data!$AJ$5)+((E425/1000)*Data!$AJ$6)+((F425/1000)*Data!$AJ$7)</f>
        <v>0.14106510000000003</v>
      </c>
      <c r="J425" s="458" t="s">
        <v>452</v>
      </c>
      <c r="K425" s="469" t="s">
        <v>470</v>
      </c>
    </row>
    <row r="426" spans="2:11" ht="15.75">
      <c r="B426" s="458" t="s">
        <v>453</v>
      </c>
      <c r="C426" s="459"/>
      <c r="D426" s="458">
        <v>0.161</v>
      </c>
      <c r="E426" s="458">
        <v>8.0999999999999996E-3</v>
      </c>
      <c r="F426" s="458">
        <v>3.2000000000000002E-3</v>
      </c>
      <c r="G426" s="459"/>
      <c r="H426" s="460">
        <f>(D426*Data!$AI$5)+((E426/1000)*Data!$AI$6)+((F426/1000)*Data!$AI$7)</f>
        <v>0.16209959000000002</v>
      </c>
      <c r="I426" s="461">
        <f>(D426*Data!$AJ$5)+((E426/1000)*Data!$AJ$6)+((F426/1000)*Data!$AJ$7)</f>
        <v>0.16207479999999999</v>
      </c>
      <c r="J426" s="458" t="s">
        <v>452</v>
      </c>
      <c r="K426" s="469" t="s">
        <v>470</v>
      </c>
    </row>
    <row r="427" spans="2:11" ht="15.75">
      <c r="B427" s="458" t="s">
        <v>454</v>
      </c>
      <c r="C427" s="459"/>
      <c r="D427" s="458">
        <v>0.11899999999999999</v>
      </c>
      <c r="E427" s="458">
        <v>2.5000000000000001E-3</v>
      </c>
      <c r="F427" s="458">
        <v>1.6999999999999999E-3</v>
      </c>
      <c r="G427" s="459"/>
      <c r="H427" s="460">
        <f>(D427*Data!$AI$5)+((E427/1000)*Data!$AI$6)+((F427/1000)*Data!$AI$7)</f>
        <v>0.11953384999999998</v>
      </c>
      <c r="I427" s="461">
        <f>(D427*Data!$AJ$5)+((E427/1000)*Data!$AJ$6)+((F427/1000)*Data!$AJ$7)</f>
        <v>0.1195205</v>
      </c>
      <c r="J427" s="458" t="s">
        <v>452</v>
      </c>
      <c r="K427" s="469" t="s">
        <v>470</v>
      </c>
    </row>
    <row r="428" spans="2:11" ht="15.75">
      <c r="B428" s="458" t="s">
        <v>397</v>
      </c>
      <c r="C428" s="459"/>
      <c r="D428" s="458">
        <v>5.6000000000000001E-2</v>
      </c>
      <c r="E428" s="458">
        <v>1.2917147824303154E-3</v>
      </c>
      <c r="F428" s="458">
        <v>8.6692267277202364E-4</v>
      </c>
      <c r="G428" s="459"/>
      <c r="H428" s="460">
        <f>(D428*Data!$AI$5)+((E428/1000)*Data!$AI$6)+((F428/1000)*Data!$AI$7)</f>
        <v>5.6272708732096575E-2</v>
      </c>
      <c r="I428" s="461">
        <f>(D428*Data!$AJ$5)+((E428/1000)*Data!$AJ$6)+((F428/1000)*Data!$AJ$7)</f>
        <v>5.6265902522192636E-2</v>
      </c>
      <c r="J428" s="458" t="s">
        <v>452</v>
      </c>
      <c r="K428" s="469" t="s">
        <v>470</v>
      </c>
    </row>
    <row r="429" spans="2:11" ht="15.75">
      <c r="B429" s="458" t="s">
        <v>455</v>
      </c>
      <c r="C429" s="459"/>
      <c r="D429" s="458">
        <v>0.22500000000000001</v>
      </c>
      <c r="E429" s="458">
        <v>3.8999999999999998E-3</v>
      </c>
      <c r="F429" s="458">
        <v>7.1753814281706558E-3</v>
      </c>
      <c r="G429" s="459"/>
      <c r="H429" s="460">
        <f>(D429*Data!$AI$5)+((E429/1000)*Data!$AI$6)+((F429/1000)*Data!$AI$7)</f>
        <v>0.22706768912989059</v>
      </c>
      <c r="I429" s="461">
        <f>(D429*Data!$AJ$5)+((E429/1000)*Data!$AJ$6)+((F429/1000)*Data!$AJ$7)</f>
        <v>0.22701067607846523</v>
      </c>
      <c r="J429" s="458" t="s">
        <v>452</v>
      </c>
      <c r="K429" s="469" t="s">
        <v>470</v>
      </c>
    </row>
    <row r="430" spans="2:11" ht="15.75">
      <c r="B430" s="458" t="s">
        <v>456</v>
      </c>
      <c r="C430" s="459"/>
      <c r="D430" s="458">
        <v>0.13600000000000001</v>
      </c>
      <c r="E430" s="458">
        <v>5.9999999999999995E-4</v>
      </c>
      <c r="F430" s="458">
        <v>4.3E-3</v>
      </c>
      <c r="G430" s="459"/>
      <c r="H430" s="460">
        <f>(D430*Data!$AI$5)+((E430/1000)*Data!$AI$6)+((F430/1000)*Data!$AI$7)</f>
        <v>0.13719064</v>
      </c>
      <c r="I430" s="461">
        <f>(D430*Data!$AJ$5)+((E430/1000)*Data!$AJ$6)+((F430/1000)*Data!$AJ$7)</f>
        <v>0.13715630000000001</v>
      </c>
      <c r="J430" s="458" t="s">
        <v>452</v>
      </c>
      <c r="K430" s="469" t="s">
        <v>470</v>
      </c>
    </row>
    <row r="431" spans="2:11" ht="15.75">
      <c r="B431" s="458" t="s">
        <v>457</v>
      </c>
      <c r="C431" s="459"/>
      <c r="D431" s="458">
        <v>0.16600000000000001</v>
      </c>
      <c r="E431" s="458">
        <v>5.9999999999999995E-4</v>
      </c>
      <c r="F431" s="458">
        <v>5.3E-3</v>
      </c>
      <c r="G431" s="459"/>
      <c r="H431" s="460">
        <f>(D431*Data!$AI$5)+((E431/1000)*Data!$AI$6)+((F431/1000)*Data!$AI$7)</f>
        <v>0.16746364</v>
      </c>
      <c r="I431" s="461">
        <f>(D431*Data!$AJ$5)+((E431/1000)*Data!$AJ$6)+((F431/1000)*Data!$AJ$7)</f>
        <v>0.16742130000000002</v>
      </c>
      <c r="J431" s="458" t="s">
        <v>452</v>
      </c>
      <c r="K431" s="469" t="s">
        <v>470</v>
      </c>
    </row>
    <row r="432" spans="2:11" ht="47.25">
      <c r="B432" s="458" t="s">
        <v>471</v>
      </c>
      <c r="C432" s="459"/>
      <c r="D432" s="458">
        <v>0.27603</v>
      </c>
      <c r="E432" s="458">
        <v>1.0000000000000001E-5</v>
      </c>
      <c r="F432" s="458">
        <v>2.97E-3</v>
      </c>
      <c r="G432" s="459"/>
      <c r="H432" s="460">
        <f>(D432*Data!$AI$5)+((E432/1000)*Data!$AI$6)+((F432/1000)*Data!$AI$7)</f>
        <v>0.27684108899999998</v>
      </c>
      <c r="I432" s="461">
        <f>(D432*Data!$AJ$5)+((E432/1000)*Data!$AJ$6)+((F432/1000)*Data!$AJ$7)</f>
        <v>0.27681733000000003</v>
      </c>
      <c r="J432" s="458" t="s">
        <v>99</v>
      </c>
      <c r="K432" s="842" t="s">
        <v>472</v>
      </c>
    </row>
    <row r="433" spans="2:11" ht="47.25">
      <c r="B433" s="458" t="s">
        <v>473</v>
      </c>
      <c r="C433" s="459"/>
      <c r="D433" s="458">
        <v>0.28991</v>
      </c>
      <c r="E433" s="458">
        <v>5.1000000000000004E-4</v>
      </c>
      <c r="F433" s="458">
        <v>6.0999999999999997E-4</v>
      </c>
      <c r="G433" s="459"/>
      <c r="H433" s="460">
        <f>(D433*Data!$AI$5)+((E433/1000)*Data!$AI$6)+((F433/1000)*Data!$AI$7)</f>
        <v>0.29009075899999998</v>
      </c>
      <c r="I433" s="461">
        <f>(D433*Data!$AJ$5)+((E433/1000)*Data!$AJ$6)+((F433/1000)*Data!$AJ$7)</f>
        <v>0.29008592999999999</v>
      </c>
      <c r="J433" s="458" t="s">
        <v>99</v>
      </c>
      <c r="K433" s="842" t="s">
        <v>472</v>
      </c>
    </row>
    <row r="434" spans="2:11" ht="47.25">
      <c r="B434" s="458" t="s">
        <v>474</v>
      </c>
      <c r="C434" s="459"/>
      <c r="D434" s="458">
        <v>0.18259</v>
      </c>
      <c r="E434" s="458">
        <v>2.5999999999999998E-4</v>
      </c>
      <c r="F434" s="458">
        <v>1.7900000000000001E-3</v>
      </c>
      <c r="G434" s="459"/>
      <c r="H434" s="460">
        <f>(D434*Data!$AI$5)+((E434/1000)*Data!$AI$6)+((F434/1000)*Data!$AI$7)</f>
        <v>0.18308592400000001</v>
      </c>
      <c r="I434" s="461">
        <f>(D434*Data!$AJ$5)+((E434/1000)*Data!$AJ$6)+((F434/1000)*Data!$AJ$7)</f>
        <v>0.18307163000000001</v>
      </c>
      <c r="J434" s="458" t="s">
        <v>99</v>
      </c>
      <c r="K434" s="842" t="s">
        <v>472</v>
      </c>
    </row>
    <row r="435" spans="2:11" ht="47.25">
      <c r="B435" s="458" t="s">
        <v>475</v>
      </c>
      <c r="C435" s="459"/>
      <c r="D435" s="458">
        <v>0.28323999999999999</v>
      </c>
      <c r="E435" s="458">
        <v>2.5699999999999998E-3</v>
      </c>
      <c r="F435" s="458">
        <v>7.2000000000000005E-4</v>
      </c>
      <c r="G435" s="459"/>
      <c r="H435" s="460">
        <f>(D435*Data!$AI$5)+((E435/1000)*Data!$AI$6)+((F435/1000)*Data!$AI$7)</f>
        <v>0.28350826299999998</v>
      </c>
      <c r="I435" s="461">
        <f>(D435*Data!$AJ$5)+((E435/1000)*Data!$AJ$6)+((F435/1000)*Data!$AJ$7)</f>
        <v>0.28350275999999996</v>
      </c>
      <c r="J435" s="458" t="s">
        <v>99</v>
      </c>
      <c r="K435" s="842" t="s">
        <v>472</v>
      </c>
    </row>
    <row r="436" spans="2:11" ht="47.25">
      <c r="B436" s="458" t="s">
        <v>476</v>
      </c>
      <c r="C436" s="459"/>
      <c r="D436" s="458">
        <v>0.31946999999999998</v>
      </c>
      <c r="E436" s="458">
        <v>8.0000000000000007E-5</v>
      </c>
      <c r="F436" s="458">
        <v>7.2000000000000005E-4</v>
      </c>
      <c r="G436" s="459"/>
      <c r="H436" s="460">
        <f>(D436*Data!$AI$5)+((E436/1000)*Data!$AI$6)+((F436/1000)*Data!$AI$7)</f>
        <v>0.31966879199999998</v>
      </c>
      <c r="I436" s="461">
        <f>(D436*Data!$AJ$5)+((E436/1000)*Data!$AJ$6)+((F436/1000)*Data!$AJ$7)</f>
        <v>0.31966303999999995</v>
      </c>
      <c r="J436" s="458" t="s">
        <v>99</v>
      </c>
      <c r="K436" s="842" t="s">
        <v>472</v>
      </c>
    </row>
    <row r="437" spans="2:11" ht="47.25">
      <c r="B437" s="458" t="s">
        <v>477</v>
      </c>
      <c r="C437" s="459"/>
      <c r="D437" s="458">
        <v>0.18434</v>
      </c>
      <c r="E437" s="458">
        <v>5.2999999999999998E-4</v>
      </c>
      <c r="F437" s="458">
        <v>7.2000000000000005E-4</v>
      </c>
      <c r="G437" s="458" t="s">
        <v>49</v>
      </c>
      <c r="H437" s="460">
        <f>(D437*Data!$AI$5)+((E437/1000)*Data!$AI$6)+((F437/1000)*Data!$AI$7)</f>
        <v>0.184551347</v>
      </c>
      <c r="I437" s="461">
        <f>(D437*Data!$AJ$5)+((E437/1000)*Data!$AJ$6)+((F437/1000)*Data!$AJ$7)</f>
        <v>0.18454563999999998</v>
      </c>
      <c r="J437" s="458" t="s">
        <v>99</v>
      </c>
      <c r="K437" s="842" t="s">
        <v>472</v>
      </c>
    </row>
    <row r="438" spans="2:11" ht="47.25">
      <c r="B438" s="458" t="s">
        <v>478</v>
      </c>
      <c r="C438" s="459"/>
      <c r="D438" s="458">
        <v>9.6119999999999997E-2</v>
      </c>
      <c r="E438" s="458">
        <v>2.4000000000000001E-4</v>
      </c>
      <c r="F438" s="458">
        <v>5.1999999999999995E-4</v>
      </c>
      <c r="G438" s="458" t="s">
        <v>49</v>
      </c>
      <c r="H438" s="460">
        <f>(D438*Data!$AI$5)+((E438/1000)*Data!$AI$6)+((F438/1000)*Data!$AI$7)</f>
        <v>9.6268655999999994E-2</v>
      </c>
      <c r="I438" s="461">
        <f>(D438*Data!$AJ$5)+((E438/1000)*Data!$AJ$6)+((F438/1000)*Data!$AJ$7)</f>
        <v>9.6264519999999992E-2</v>
      </c>
      <c r="J438" s="458" t="s">
        <v>99</v>
      </c>
      <c r="K438" s="842" t="s">
        <v>472</v>
      </c>
    </row>
    <row r="439" spans="2:11" ht="47.25">
      <c r="B439" s="458" t="s">
        <v>479</v>
      </c>
      <c r="C439" s="459"/>
      <c r="D439" s="458">
        <v>0.28297</v>
      </c>
      <c r="E439" s="458">
        <v>2.5999999999999998E-4</v>
      </c>
      <c r="F439" s="458">
        <v>1.7900000000000001E-3</v>
      </c>
      <c r="G439" s="459"/>
      <c r="H439" s="460">
        <f>(D439*Data!$AI$5)+((E439/1000)*Data!$AI$6)+((F439/1000)*Data!$AI$7)</f>
        <v>0.28346592400000004</v>
      </c>
      <c r="I439" s="461">
        <f>(D439*Data!$AJ$5)+((E439/1000)*Data!$AJ$6)+((F439/1000)*Data!$AJ$7)</f>
        <v>0.28345163000000001</v>
      </c>
      <c r="J439" s="458" t="s">
        <v>99</v>
      </c>
      <c r="K439" s="842" t="s">
        <v>472</v>
      </c>
    </row>
    <row r="440" spans="2:11" ht="47.25">
      <c r="B440" s="458" t="s">
        <v>389</v>
      </c>
      <c r="C440" s="459"/>
      <c r="D440" s="458">
        <v>0.18207999999999999</v>
      </c>
      <c r="E440" s="458">
        <v>2.8600000000000001E-3</v>
      </c>
      <c r="F440" s="458">
        <v>9.5E-4</v>
      </c>
      <c r="G440" s="459"/>
      <c r="H440" s="460">
        <f>(D440*Data!$AI$5)+((E440/1000)*Data!$AI$6)+((F440/1000)*Data!$AI$7)</f>
        <v>0.18241914399999998</v>
      </c>
      <c r="I440" s="461">
        <f>(D440*Data!$AJ$5)+((E440/1000)*Data!$AJ$6)+((F440/1000)*Data!$AJ$7)</f>
        <v>0.18241183</v>
      </c>
      <c r="J440" s="458" t="s">
        <v>99</v>
      </c>
      <c r="K440" s="842" t="s">
        <v>472</v>
      </c>
    </row>
    <row r="441" spans="2:11" ht="47.25">
      <c r="B441" s="458" t="s">
        <v>480</v>
      </c>
      <c r="C441" s="459"/>
      <c r="D441" s="458">
        <v>0.14885999999999999</v>
      </c>
      <c r="E441" s="458">
        <v>3.0800000000000002E-6</v>
      </c>
      <c r="F441" s="458">
        <v>1.32E-3</v>
      </c>
      <c r="G441" s="459"/>
      <c r="H441" s="460">
        <f>(D441*Data!$AI$5)+((E441/1000)*Data!$AI$6)+((F441/1000)*Data!$AI$7)</f>
        <v>0.14922044593199998</v>
      </c>
      <c r="I441" s="461">
        <f>(D441*Data!$AJ$5)+((E441/1000)*Data!$AJ$6)+((F441/1000)*Data!$AJ$7)</f>
        <v>0.14920988624000001</v>
      </c>
      <c r="J441" s="458" t="s">
        <v>481</v>
      </c>
      <c r="K441" s="842" t="s">
        <v>472</v>
      </c>
    </row>
    <row r="442" spans="2:11" ht="47.25">
      <c r="B442" s="458" t="s">
        <v>482</v>
      </c>
      <c r="C442" s="459"/>
      <c r="D442" s="458">
        <v>0.10391</v>
      </c>
      <c r="E442" s="458">
        <v>3.0000000000000001E-5</v>
      </c>
      <c r="F442" s="458">
        <v>7.6999999999999996E-4</v>
      </c>
      <c r="G442" s="459"/>
      <c r="H442" s="460">
        <f>(D442*Data!$AI$5)+((E442/1000)*Data!$AI$6)+((F442/1000)*Data!$AI$7)</f>
        <v>0.10412104700000001</v>
      </c>
      <c r="I442" s="461">
        <f>(D442*Data!$AJ$5)+((E442/1000)*Data!$AJ$6)+((F442/1000)*Data!$AJ$7)</f>
        <v>0.10411489</v>
      </c>
      <c r="J442" s="458" t="s">
        <v>481</v>
      </c>
      <c r="K442" s="842" t="s">
        <v>472</v>
      </c>
    </row>
    <row r="443" spans="2:11" ht="47.25">
      <c r="B443" s="458" t="s">
        <v>403</v>
      </c>
      <c r="C443" s="459"/>
      <c r="D443" s="458">
        <v>4.0770000000000001E-2</v>
      </c>
      <c r="E443" s="458">
        <v>6.9999999999999994E-5</v>
      </c>
      <c r="F443" s="458">
        <v>3.1E-4</v>
      </c>
      <c r="G443" s="459"/>
      <c r="H443" s="460">
        <f>(D443*Data!$AI$5)+((E443/1000)*Data!$AI$6)+((F443/1000)*Data!$AI$7)</f>
        <v>4.0856583000000002E-2</v>
      </c>
      <c r="I443" s="461">
        <f>(D443*Data!$AJ$5)+((E443/1000)*Data!$AJ$6)+((F443/1000)*Data!$AJ$7)</f>
        <v>4.0854110000000006E-2</v>
      </c>
      <c r="J443" s="458" t="s">
        <v>481</v>
      </c>
      <c r="K443" s="842" t="s">
        <v>483</v>
      </c>
    </row>
    <row r="444" spans="2:11" ht="47.25">
      <c r="B444" s="458" t="s">
        <v>404</v>
      </c>
      <c r="C444" s="459"/>
      <c r="D444" s="458">
        <v>5.9199999999999999E-3</v>
      </c>
      <c r="E444" s="458">
        <v>2.0000000000000002E-5</v>
      </c>
      <c r="F444" s="458">
        <v>3.0000000000000001E-5</v>
      </c>
      <c r="G444" s="459"/>
      <c r="H444" s="460">
        <f>(D444*Data!$AI$5)+((E444/1000)*Data!$AI$6)+((F444/1000)*Data!$AI$7)</f>
        <v>5.9287480000000002E-3</v>
      </c>
      <c r="I444" s="461">
        <f>(D444*Data!$AJ$5)+((E444/1000)*Data!$AJ$6)+((F444/1000)*Data!$AJ$7)</f>
        <v>5.9285099999999997E-3</v>
      </c>
      <c r="J444" s="458" t="s">
        <v>481</v>
      </c>
      <c r="K444" s="842" t="s">
        <v>483</v>
      </c>
    </row>
    <row r="445" spans="2:11" ht="47.25">
      <c r="B445" s="458" t="s">
        <v>405</v>
      </c>
      <c r="C445" s="459"/>
      <c r="D445" s="458">
        <v>3.4799999999999998E-2</v>
      </c>
      <c r="E445" s="458">
        <v>9.0000000000000006E-5</v>
      </c>
      <c r="F445" s="458">
        <v>1.9000000000000001E-4</v>
      </c>
      <c r="G445" s="459"/>
      <c r="H445" s="460">
        <f>(D445*Data!$AI$5)+((E445/1000)*Data!$AI$6)+((F445/1000)*Data!$AI$7)</f>
        <v>3.4854380999999997E-2</v>
      </c>
      <c r="I445" s="461">
        <f>(D445*Data!$AJ$5)+((E445/1000)*Data!$AJ$6)+((F445/1000)*Data!$AJ$7)</f>
        <v>3.4852869999999994E-2</v>
      </c>
      <c r="J445" s="458" t="s">
        <v>481</v>
      </c>
      <c r="K445" s="842" t="s">
        <v>483</v>
      </c>
    </row>
    <row r="446" spans="2:11" ht="47.25">
      <c r="B446" s="458" t="s">
        <v>484</v>
      </c>
      <c r="C446" s="459"/>
      <c r="D446" s="458">
        <v>0.13345000000000001</v>
      </c>
      <c r="E446" s="458">
        <v>1.2E-4</v>
      </c>
      <c r="F446" s="458">
        <v>1.2600000000000001E-3</v>
      </c>
      <c r="G446" s="459"/>
      <c r="H446" s="460">
        <f>(D446*Data!$AI$5)+((E446/1000)*Data!$AI$6)+((F446/1000)*Data!$AI$7)</f>
        <v>0.13379732799999999</v>
      </c>
      <c r="I446" s="461">
        <f>(D446*Data!$AJ$5)+((E446/1000)*Data!$AJ$6)+((F446/1000)*Data!$AJ$7)</f>
        <v>0.13378726000000002</v>
      </c>
      <c r="J446" s="458" t="s">
        <v>481</v>
      </c>
      <c r="K446" s="842" t="s">
        <v>485</v>
      </c>
    </row>
    <row r="447" spans="2:11" ht="47.25">
      <c r="B447" s="458" t="s">
        <v>486</v>
      </c>
      <c r="C447" s="459"/>
      <c r="D447" s="458">
        <v>8.2909999999999998E-2</v>
      </c>
      <c r="E447" s="458">
        <v>1.0000000000000001E-5</v>
      </c>
      <c r="F447" s="458">
        <v>7.7999999999999999E-4</v>
      </c>
      <c r="G447" s="459"/>
      <c r="H447" s="460">
        <f>(D447*Data!$AI$5)+((E447/1000)*Data!$AI$6)+((F447/1000)*Data!$AI$7)</f>
        <v>8.3123218999999998E-2</v>
      </c>
      <c r="I447" s="461">
        <f>(D447*Data!$AJ$5)+((E447/1000)*Data!$AJ$6)+((F447/1000)*Data!$AJ$7)</f>
        <v>8.3116980000000007E-2</v>
      </c>
      <c r="J447" s="458" t="s">
        <v>481</v>
      </c>
      <c r="K447" s="842" t="s">
        <v>485</v>
      </c>
    </row>
    <row r="448" spans="2:11" ht="47.25">
      <c r="B448" s="458" t="s">
        <v>487</v>
      </c>
      <c r="C448" s="459"/>
      <c r="D448" s="458">
        <v>8.1549999999999997E-2</v>
      </c>
      <c r="E448" s="458">
        <v>1.0000000000000001E-5</v>
      </c>
      <c r="F448" s="458">
        <v>7.6999999999999996E-4</v>
      </c>
      <c r="G448" s="459"/>
      <c r="H448" s="460">
        <f>(D448*Data!$AI$5)+((E448/1000)*Data!$AI$6)+((F448/1000)*Data!$AI$7)</f>
        <v>8.1760489000000006E-2</v>
      </c>
      <c r="I448" s="461">
        <f>(D448*Data!$AJ$5)+((E448/1000)*Data!$AJ$6)+((F448/1000)*Data!$AJ$7)</f>
        <v>8.175433E-2</v>
      </c>
      <c r="J448" s="458" t="s">
        <v>481</v>
      </c>
      <c r="K448" s="842" t="s">
        <v>485</v>
      </c>
    </row>
    <row r="449" spans="2:11" ht="47.25">
      <c r="B449" s="458" t="s">
        <v>488</v>
      </c>
      <c r="C449" s="459"/>
      <c r="D449" s="458">
        <v>0.12232999999999999</v>
      </c>
      <c r="E449" s="458">
        <v>1.0000000000000001E-5</v>
      </c>
      <c r="F449" s="458">
        <v>1.16E-3</v>
      </c>
      <c r="G449" s="459"/>
      <c r="H449" s="460">
        <f>(D449*Data!$AI$5)+((E449/1000)*Data!$AI$6)+((F449/1000)*Data!$AI$7)</f>
        <v>0.122646959</v>
      </c>
      <c r="I449" s="461">
        <f>(D449*Data!$AJ$5)+((E449/1000)*Data!$AJ$6)+((F449/1000)*Data!$AJ$7)</f>
        <v>0.12263768</v>
      </c>
      <c r="J449" s="458" t="s">
        <v>481</v>
      </c>
      <c r="K449" s="842" t="s">
        <v>485</v>
      </c>
    </row>
    <row r="450" spans="2:11" ht="47.25">
      <c r="B450" s="458" t="s">
        <v>489</v>
      </c>
      <c r="C450" s="459"/>
      <c r="D450" s="458">
        <v>0.10244</v>
      </c>
      <c r="E450" s="458">
        <v>1.0000000000000001E-5</v>
      </c>
      <c r="F450" s="458">
        <v>9.7000000000000005E-4</v>
      </c>
      <c r="G450" s="459"/>
      <c r="H450" s="460">
        <f>(D450*Data!$AI$5)+((E450/1000)*Data!$AI$6)+((F450/1000)*Data!$AI$7)</f>
        <v>0.10270508900000001</v>
      </c>
      <c r="I450" s="461">
        <f>(D450*Data!$AJ$5)+((E450/1000)*Data!$AJ$6)+((F450/1000)*Data!$AJ$7)</f>
        <v>0.10269733</v>
      </c>
      <c r="J450" s="458" t="s">
        <v>481</v>
      </c>
      <c r="K450" s="842" t="s">
        <v>485</v>
      </c>
    </row>
    <row r="451" spans="2:11" ht="47.25">
      <c r="B451" s="458" t="s">
        <v>490</v>
      </c>
      <c r="C451" s="459"/>
      <c r="D451" s="458">
        <v>7.8450000000000006E-2</v>
      </c>
      <c r="E451" s="458">
        <v>1.0000000000000001E-5</v>
      </c>
      <c r="F451" s="458">
        <v>7.3999999999999999E-4</v>
      </c>
      <c r="G451" s="459"/>
      <c r="H451" s="460">
        <f>(D451*Data!$AI$5)+((E451/1000)*Data!$AI$6)+((F451/1000)*Data!$AI$7)</f>
        <v>7.8652299000000009E-2</v>
      </c>
      <c r="I451" s="461">
        <f>(D451*Data!$AJ$5)+((E451/1000)*Data!$AJ$6)+((F451/1000)*Data!$AJ$7)</f>
        <v>7.8646380000000016E-2</v>
      </c>
      <c r="J451" s="458" t="s">
        <v>481</v>
      </c>
      <c r="K451" s="842" t="s">
        <v>485</v>
      </c>
    </row>
    <row r="452" spans="2:11" ht="47.25">
      <c r="B452" s="458" t="s">
        <v>491</v>
      </c>
      <c r="C452" s="459"/>
      <c r="D452" s="458">
        <v>0.12553</v>
      </c>
      <c r="E452" s="458">
        <v>1.0000000000000001E-5</v>
      </c>
      <c r="F452" s="458">
        <v>1.1900000000000001E-3</v>
      </c>
      <c r="G452" s="459"/>
      <c r="H452" s="460">
        <f>(D452*Data!$AI$5)+((E452/1000)*Data!$AI$6)+((F452/1000)*Data!$AI$7)</f>
        <v>0.125855149</v>
      </c>
      <c r="I452" s="461">
        <f>(D452*Data!$AJ$5)+((E452/1000)*Data!$AJ$6)+((F452/1000)*Data!$AJ$7)</f>
        <v>0.12584562999999999</v>
      </c>
      <c r="J452" s="458" t="s">
        <v>481</v>
      </c>
      <c r="K452" s="842" t="s">
        <v>485</v>
      </c>
    </row>
    <row r="453" spans="2:11" ht="47.25">
      <c r="B453" s="458" t="s">
        <v>492</v>
      </c>
      <c r="C453" s="459"/>
      <c r="D453" s="458">
        <v>0.22752</v>
      </c>
      <c r="E453" s="458">
        <v>2.0000000000000002E-5</v>
      </c>
      <c r="F453" s="458">
        <v>2.15E-3</v>
      </c>
      <c r="G453" s="459"/>
      <c r="H453" s="460">
        <f>(D453*Data!$AI$5)+((E453/1000)*Data!$AI$6)+((F453/1000)*Data!$AI$7)</f>
        <v>0.22810750800000001</v>
      </c>
      <c r="I453" s="461">
        <f>(D453*Data!$AJ$5)+((E453/1000)*Data!$AJ$6)+((F453/1000)*Data!$AJ$7)</f>
        <v>0.22809031000000002</v>
      </c>
      <c r="J453" s="458" t="s">
        <v>481</v>
      </c>
      <c r="K453" s="842" t="s">
        <v>485</v>
      </c>
    </row>
    <row r="454" spans="2:11" ht="15.75">
      <c r="B454" s="458" t="s">
        <v>493</v>
      </c>
      <c r="C454" s="459"/>
      <c r="D454" s="458">
        <v>0.31381999999999999</v>
      </c>
      <c r="E454" s="458">
        <v>2.0000000000000002E-5</v>
      </c>
      <c r="F454" s="458">
        <v>2.97E-3</v>
      </c>
      <c r="G454" s="459"/>
      <c r="H454" s="460">
        <f>(D454*Data!$AI$5)+((E454/1000)*Data!$AI$6)+((F454/1000)*Data!$AI$7)</f>
        <v>0.31463136799999997</v>
      </c>
      <c r="I454" s="461">
        <f>(D454*Data!$AJ$5)+((E454/1000)*Data!$AJ$6)+((F454/1000)*Data!$AJ$7)</f>
        <v>0.31460760999999998</v>
      </c>
      <c r="J454" s="458" t="s">
        <v>481</v>
      </c>
      <c r="K454" s="464" t="s">
        <v>485</v>
      </c>
    </row>
    <row r="455" spans="2:11" ht="15.75">
      <c r="B455" s="458" t="s">
        <v>494</v>
      </c>
      <c r="C455" s="459"/>
      <c r="D455" s="458">
        <v>9.4670000000000004E-2</v>
      </c>
      <c r="E455" s="458">
        <v>1.0000000000000001E-5</v>
      </c>
      <c r="F455" s="458">
        <v>8.9999999999999998E-4</v>
      </c>
      <c r="G455" s="459"/>
      <c r="H455" s="460">
        <f>(D455*Data!$AI$5)+((E455/1000)*Data!$AI$6)+((F455/1000)*Data!$AI$7)</f>
        <v>9.4915979000000011E-2</v>
      </c>
      <c r="I455" s="461">
        <f>(D455*Data!$AJ$5)+((E455/1000)*Data!$AJ$6)+((F455/1000)*Data!$AJ$7)</f>
        <v>9.4908780000000012E-2</v>
      </c>
      <c r="J455" s="458" t="s">
        <v>481</v>
      </c>
      <c r="K455" s="464" t="s">
        <v>485</v>
      </c>
    </row>
    <row r="456" spans="2:11" ht="15.75">
      <c r="B456" s="458" t="s">
        <v>495</v>
      </c>
      <c r="C456" s="459"/>
      <c r="D456" s="458">
        <v>7.2499999999999995E-2</v>
      </c>
      <c r="E456" s="458">
        <v>5.0000000000000004E-6</v>
      </c>
      <c r="F456" s="458">
        <v>6.8999999999999997E-4</v>
      </c>
      <c r="G456" s="459"/>
      <c r="H456" s="460">
        <f>(D456*Data!$AI$5)+((E456/1000)*Data!$AI$6)+((F456/1000)*Data!$AI$7)</f>
        <v>7.2688509499999984E-2</v>
      </c>
      <c r="I456" s="461">
        <f>(D456*Data!$AJ$5)+((E456/1000)*Data!$AJ$6)+((F456/1000)*Data!$AJ$7)</f>
        <v>7.2682989999999989E-2</v>
      </c>
      <c r="J456" s="458" t="s">
        <v>481</v>
      </c>
      <c r="K456" s="464" t="s">
        <v>485</v>
      </c>
    </row>
    <row r="457" spans="2:11" ht="15.75">
      <c r="B457" s="458" t="s">
        <v>496</v>
      </c>
      <c r="C457" s="459"/>
      <c r="D457" s="458">
        <v>0.11600000000000001</v>
      </c>
      <c r="E457" s="458">
        <v>1.0000000000000001E-5</v>
      </c>
      <c r="F457" s="458">
        <v>1.1000000000000001E-3</v>
      </c>
      <c r="G457" s="459"/>
      <c r="H457" s="460">
        <f>(D457*Data!$AI$5)+((E457/1000)*Data!$AI$6)+((F457/1000)*Data!$AI$7)</f>
        <v>0.11630057900000002</v>
      </c>
      <c r="I457" s="461">
        <f>(D457*Data!$AJ$5)+((E457/1000)*Data!$AJ$6)+((F457/1000)*Data!$AJ$7)</f>
        <v>0.11629178000000001</v>
      </c>
      <c r="J457" s="458" t="s">
        <v>481</v>
      </c>
      <c r="K457" s="464" t="s">
        <v>485</v>
      </c>
    </row>
    <row r="458" spans="2:11" ht="15.75">
      <c r="B458" s="458" t="s">
        <v>497</v>
      </c>
      <c r="C458" s="459"/>
      <c r="D458" s="458">
        <v>0.21024999999999999</v>
      </c>
      <c r="E458" s="458">
        <v>2.0000000000000002E-5</v>
      </c>
      <c r="F458" s="458">
        <v>1.99E-3</v>
      </c>
      <c r="G458" s="459"/>
      <c r="H458" s="460">
        <f>(D458*Data!$AI$5)+((E458/1000)*Data!$AI$6)+((F458/1000)*Data!$AI$7)</f>
        <v>0.21079382800000002</v>
      </c>
      <c r="I458" s="461">
        <f>(D458*Data!$AJ$5)+((E458/1000)*Data!$AJ$6)+((F458/1000)*Data!$AJ$7)</f>
        <v>0.21077791000000001</v>
      </c>
      <c r="J458" s="458" t="s">
        <v>481</v>
      </c>
      <c r="K458" s="464" t="s">
        <v>485</v>
      </c>
    </row>
    <row r="459" spans="2:11" ht="15.75">
      <c r="B459" s="458" t="s">
        <v>498</v>
      </c>
      <c r="C459" s="459"/>
      <c r="D459" s="458">
        <v>0.28999999999999998</v>
      </c>
      <c r="E459" s="458">
        <v>2.0000000000000002E-5</v>
      </c>
      <c r="F459" s="458">
        <v>2.7399999999999998E-3</v>
      </c>
      <c r="G459" s="459"/>
      <c r="H459" s="460">
        <f>(D459*Data!$AI$5)+((E459/1000)*Data!$AI$6)+((F459/1000)*Data!$AI$7)</f>
        <v>0.29074857799999998</v>
      </c>
      <c r="I459" s="461">
        <f>(D459*Data!$AJ$5)+((E459/1000)*Data!$AJ$6)+((F459/1000)*Data!$AJ$7)</f>
        <v>0.29072665999999997</v>
      </c>
      <c r="J459" s="458" t="s">
        <v>481</v>
      </c>
      <c r="K459" s="464" t="s">
        <v>485</v>
      </c>
    </row>
    <row r="460" spans="2:11" ht="15.75">
      <c r="B460" s="458" t="s">
        <v>499</v>
      </c>
      <c r="C460" s="459"/>
      <c r="D460" s="458">
        <v>0.111313</v>
      </c>
      <c r="E460" s="458">
        <v>3.3000000000000003E-5</v>
      </c>
      <c r="F460" s="458">
        <v>1.5169999999999999E-3</v>
      </c>
      <c r="G460" s="459"/>
      <c r="H460" s="460">
        <f>(D460*Data!$AI$5)+((E460/1000)*Data!$AI$6)+((F460/1000)*Data!$AI$7)</f>
        <v>0.11172806170000001</v>
      </c>
      <c r="I460" s="461">
        <f>(D460*Data!$AJ$5)+((E460/1000)*Data!$AJ$6)+((F460/1000)*Data!$AJ$7)</f>
        <v>0.11171592899999999</v>
      </c>
      <c r="J460" s="458" t="s">
        <v>481</v>
      </c>
      <c r="K460" s="464" t="s">
        <v>500</v>
      </c>
    </row>
    <row r="461" spans="2:11" ht="15.75">
      <c r="B461" s="458" t="s">
        <v>461</v>
      </c>
      <c r="C461" s="459"/>
      <c r="D461" s="458">
        <v>1.4670000000000001</v>
      </c>
      <c r="E461" s="458">
        <v>1.4E-2</v>
      </c>
      <c r="F461" s="458">
        <v>0.01</v>
      </c>
      <c r="G461" s="459"/>
      <c r="H461" s="460">
        <f>(D461*Data!$AI$5)+((E461/1000)*Data!$AI$6)+((F461/1000)*Data!$AI$7)</f>
        <v>1.4701206</v>
      </c>
      <c r="I461" s="461">
        <f>(D461*Data!$AJ$5)+((E461/1000)*Data!$AJ$6)+((F461/1000)*Data!$AJ$7)</f>
        <v>1.4700420000000001</v>
      </c>
      <c r="J461" s="458" t="s">
        <v>448</v>
      </c>
      <c r="K461" s="464" t="s">
        <v>470</v>
      </c>
    </row>
    <row r="462" spans="2:11" ht="15.75">
      <c r="B462" s="458" t="s">
        <v>501</v>
      </c>
      <c r="C462" s="459"/>
      <c r="D462" s="458">
        <v>0.34300000000000003</v>
      </c>
      <c r="E462" s="458">
        <v>1.9E-2</v>
      </c>
      <c r="F462" s="458">
        <v>1.0999999999999999E-2</v>
      </c>
      <c r="G462" s="459"/>
      <c r="H462" s="460">
        <f>(D462*Data!$AI$5)+((E462/1000)*Data!$AI$6)+((F462/1000)*Data!$AI$7)</f>
        <v>0.34653309999999998</v>
      </c>
      <c r="I462" s="461">
        <f>(D462*Data!$AJ$5)+((E462/1000)*Data!$AJ$6)+((F462/1000)*Data!$AJ$7)</f>
        <v>0.346447</v>
      </c>
      <c r="J462" s="458" t="s">
        <v>448</v>
      </c>
      <c r="K462" s="464" t="s">
        <v>470</v>
      </c>
    </row>
    <row r="463" spans="2:11" ht="15.75">
      <c r="B463" s="458" t="s">
        <v>502</v>
      </c>
      <c r="C463" s="459"/>
      <c r="D463" s="458">
        <v>0.47199999999999998</v>
      </c>
      <c r="E463" s="458">
        <v>1.9E-2</v>
      </c>
      <c r="F463" s="458">
        <v>1.7999999999999999E-2</v>
      </c>
      <c r="G463" s="459"/>
      <c r="H463" s="460">
        <f>(D463*Data!$AI$5)+((E463/1000)*Data!$AI$6)+((F463/1000)*Data!$AI$7)</f>
        <v>0.47744409999999993</v>
      </c>
      <c r="I463" s="461">
        <f>(D463*Data!$AJ$5)+((E463/1000)*Data!$AJ$6)+((F463/1000)*Data!$AJ$7)</f>
        <v>0.47730199999999995</v>
      </c>
      <c r="J463" s="458" t="s">
        <v>448</v>
      </c>
      <c r="K463" s="464" t="s">
        <v>470</v>
      </c>
    </row>
    <row r="464" spans="2:11" ht="15.75">
      <c r="B464" s="458" t="s">
        <v>462</v>
      </c>
      <c r="C464" s="459"/>
      <c r="D464" s="458">
        <v>0.20233797801439316</v>
      </c>
      <c r="E464" s="458">
        <v>2.0038423175478401E-3</v>
      </c>
      <c r="F464" s="458">
        <v>1.5129681927794096E-3</v>
      </c>
      <c r="G464" s="459"/>
      <c r="H464" s="460">
        <f>(D464*Data!$AI$5)+((E464/1000)*Data!$AI$6)+((F464/1000)*Data!$AI$7)</f>
        <v>0.20280692553168153</v>
      </c>
      <c r="I464" s="461">
        <f>(D464*Data!$AJ$5)+((E464/1000)*Data!$AJ$6)+((F464/1000)*Data!$AJ$7)</f>
        <v>0.20279502217037101</v>
      </c>
      <c r="J464" s="458" t="s">
        <v>463</v>
      </c>
      <c r="K464" s="464" t="s">
        <v>470</v>
      </c>
    </row>
    <row r="465" spans="2:11" ht="15.75">
      <c r="B465" s="458" t="s">
        <v>402</v>
      </c>
      <c r="C465" s="459"/>
      <c r="D465" s="458">
        <v>2.3E-2</v>
      </c>
      <c r="E465" s="458">
        <v>1.8E-3</v>
      </c>
      <c r="F465" s="458">
        <v>5.9999999999999995E-4</v>
      </c>
      <c r="G465" s="459"/>
      <c r="H465" s="460">
        <f>(D465*Data!$AI$5)+((E465/1000)*Data!$AI$6)+((F465/1000)*Data!$AI$7)</f>
        <v>2.3214019999999998E-2</v>
      </c>
      <c r="I465" s="461">
        <f>(D465*Data!$AJ$5)+((E465/1000)*Data!$AJ$6)+((F465/1000)*Data!$AJ$7)</f>
        <v>2.3209399999999998E-2</v>
      </c>
      <c r="J465" s="458" t="s">
        <v>463</v>
      </c>
      <c r="K465" s="464" t="s">
        <v>470</v>
      </c>
    </row>
    <row r="466" spans="2:11" ht="15.75">
      <c r="B466" s="458" t="s">
        <v>464</v>
      </c>
      <c r="C466" s="459"/>
      <c r="D466" s="458">
        <v>5.8999999999999997E-2</v>
      </c>
      <c r="E466" s="458">
        <v>5.0000000000000001E-4</v>
      </c>
      <c r="F466" s="458">
        <v>4.0000000000000001E-3</v>
      </c>
      <c r="G466" s="459"/>
      <c r="H466" s="460">
        <f>(D466*Data!$AI$5)+((E466/1000)*Data!$AI$6)+((F466/1000)*Data!$AI$7)</f>
        <v>6.0105949999999998E-2</v>
      </c>
      <c r="I466" s="461">
        <f>(D466*Data!$AJ$5)+((E466/1000)*Data!$AJ$6)+((F466/1000)*Data!$AJ$7)</f>
        <v>6.0073999999999995E-2</v>
      </c>
      <c r="J466" s="458" t="s">
        <v>463</v>
      </c>
      <c r="K466" s="464" t="s">
        <v>470</v>
      </c>
    </row>
    <row r="467" spans="2:11" ht="15.75">
      <c r="B467" s="458" t="s">
        <v>465</v>
      </c>
      <c r="C467" s="459"/>
      <c r="D467" s="458">
        <v>1.3080000000000001</v>
      </c>
      <c r="E467" s="458">
        <v>0</v>
      </c>
      <c r="F467" s="458">
        <v>4.02E-2</v>
      </c>
      <c r="G467" s="459"/>
      <c r="H467" s="460">
        <f>(D467*Data!$AI$5)+((E467/1000)*Data!$AI$6)+((F467/1000)*Data!$AI$7)</f>
        <v>1.3189746</v>
      </c>
      <c r="I467" s="461">
        <f>(D467*Data!$AJ$5)+((E467/1000)*Data!$AJ$6)+((F467/1000)*Data!$AJ$7)</f>
        <v>1.3186530000000001</v>
      </c>
      <c r="J467" s="458" t="s">
        <v>463</v>
      </c>
      <c r="K467" s="464" t="s">
        <v>470</v>
      </c>
    </row>
    <row r="468" spans="2:11" ht="15.75">
      <c r="B468" s="458" t="s">
        <v>407</v>
      </c>
      <c r="C468" s="459"/>
      <c r="D468" s="458">
        <v>0.40278999999999998</v>
      </c>
      <c r="E468" s="458">
        <v>1.0000000000000001E-5</v>
      </c>
      <c r="F468" s="458">
        <v>2.96E-3</v>
      </c>
      <c r="G468" s="459"/>
      <c r="H468" s="460">
        <f>(D468*Data!$AI$5)+((E468/1000)*Data!$AI$6)+((F468/1000)*Data!$AI$7)</f>
        <v>0.40359835899999996</v>
      </c>
      <c r="I468" s="461">
        <f>(D468*Data!$AJ$5)+((E468/1000)*Data!$AJ$6)+((F468/1000)*Data!$AJ$7)</f>
        <v>0.40357468000000002</v>
      </c>
      <c r="J468" s="458" t="s">
        <v>99</v>
      </c>
      <c r="K468" s="464" t="s">
        <v>503</v>
      </c>
    </row>
    <row r="469" spans="2:11" ht="15.75">
      <c r="B469" s="458" t="s">
        <v>408</v>
      </c>
      <c r="C469" s="459"/>
      <c r="D469" s="458">
        <v>0.37897999999999998</v>
      </c>
      <c r="E469" s="458">
        <v>4.0999999999999999E-4</v>
      </c>
      <c r="F469" s="458">
        <v>1.14E-3</v>
      </c>
      <c r="G469" s="459"/>
      <c r="H469" s="460">
        <f>(D469*Data!$AI$5)+((E469/1000)*Data!$AI$6)+((F469/1000)*Data!$AI$7)</f>
        <v>0.37930265899999999</v>
      </c>
      <c r="I469" s="461">
        <f>(D469*Data!$AJ$5)+((E469/1000)*Data!$AJ$6)+((F469/1000)*Data!$AJ$7)</f>
        <v>0.37929358000000002</v>
      </c>
      <c r="J469" s="458" t="s">
        <v>99</v>
      </c>
      <c r="K469" s="464" t="s">
        <v>503</v>
      </c>
    </row>
    <row r="470" spans="2:11" ht="15.75">
      <c r="B470" s="458" t="s">
        <v>409</v>
      </c>
      <c r="C470" s="459"/>
      <c r="D470" s="458">
        <v>0.39541999999999999</v>
      </c>
      <c r="E470" s="458">
        <v>2.0400000000000001E-3</v>
      </c>
      <c r="F470" s="458">
        <v>1.3500000000000001E-3</v>
      </c>
      <c r="G470" s="459"/>
      <c r="H470" s="460">
        <f>(D470*Data!$AI$5)+((E470/1000)*Data!$AI$6)+((F470/1000)*Data!$AI$7)</f>
        <v>0.39584546600000003</v>
      </c>
      <c r="I470" s="461">
        <f>(D470*Data!$AJ$5)+((E470/1000)*Data!$AJ$6)+((F470/1000)*Data!$AJ$7)</f>
        <v>0.39583487000000001</v>
      </c>
      <c r="J470" s="458" t="s">
        <v>99</v>
      </c>
      <c r="K470" s="464" t="s">
        <v>503</v>
      </c>
    </row>
    <row r="471" spans="2:11" ht="15.75">
      <c r="B471" s="458" t="s">
        <v>410</v>
      </c>
      <c r="C471" s="459"/>
      <c r="D471" s="458">
        <v>0.43703999999999998</v>
      </c>
      <c r="E471" s="458">
        <v>6.0000000000000002E-5</v>
      </c>
      <c r="F471" s="458">
        <v>1.3500000000000001E-3</v>
      </c>
      <c r="G471" s="459"/>
      <c r="H471" s="460">
        <f>(D471*Data!$AI$5)+((E471/1000)*Data!$AI$6)+((F471/1000)*Data!$AI$7)</f>
        <v>0.43741022400000001</v>
      </c>
      <c r="I471" s="461">
        <f>(D471*Data!$AJ$5)+((E471/1000)*Data!$AJ$6)+((F471/1000)*Data!$AJ$7)</f>
        <v>0.43739942999999998</v>
      </c>
      <c r="J471" s="458" t="s">
        <v>99</v>
      </c>
      <c r="K471" s="464" t="s">
        <v>503</v>
      </c>
    </row>
    <row r="472" spans="2:11" ht="15.75">
      <c r="B472" s="458" t="s">
        <v>411</v>
      </c>
      <c r="C472" s="459"/>
      <c r="D472" s="458">
        <v>0.40200999999999998</v>
      </c>
      <c r="E472" s="458">
        <v>2.0000000000000002E-5</v>
      </c>
      <c r="F472" s="458">
        <v>2.8999999999999998E-3</v>
      </c>
      <c r="G472" s="459"/>
      <c r="H472" s="460">
        <f>(D472*Data!$AI$5)+((E472/1000)*Data!$AI$6)+((F472/1000)*Data!$AI$7)</f>
        <v>0.40280225799999997</v>
      </c>
      <c r="I472" s="461">
        <f>(D472*Data!$AJ$5)+((E472/1000)*Data!$AJ$6)+((F472/1000)*Data!$AJ$7)</f>
        <v>0.40277905999999997</v>
      </c>
      <c r="J472" s="458" t="s">
        <v>99</v>
      </c>
      <c r="K472" s="464" t="s">
        <v>503</v>
      </c>
    </row>
    <row r="473" spans="2:11" ht="15.75">
      <c r="B473" s="458" t="s">
        <v>412</v>
      </c>
      <c r="C473" s="459"/>
      <c r="D473" s="458">
        <v>0.10034</v>
      </c>
      <c r="E473" s="458">
        <v>2.5999999999999998E-4</v>
      </c>
      <c r="F473" s="458">
        <v>5.5000000000000003E-4</v>
      </c>
      <c r="G473" s="458" t="s">
        <v>49</v>
      </c>
      <c r="H473" s="460">
        <f>(D473*Data!$AI$5)+((E473/1000)*Data!$AI$6)+((F473/1000)*Data!$AI$7)</f>
        <v>0.100497404</v>
      </c>
      <c r="I473" s="461">
        <f>(D473*Data!$AJ$5)+((E473/1000)*Data!$AJ$6)+((F473/1000)*Data!$AJ$7)</f>
        <v>0.10049303</v>
      </c>
      <c r="J473" s="458" t="s">
        <v>99</v>
      </c>
      <c r="K473" s="464" t="s">
        <v>503</v>
      </c>
    </row>
    <row r="474" spans="2:11" ht="15.75">
      <c r="B474" s="458" t="s">
        <v>504</v>
      </c>
      <c r="C474" s="459"/>
      <c r="D474" s="458">
        <v>0.10797</v>
      </c>
      <c r="E474" s="458">
        <v>4.0000000000000003E-5</v>
      </c>
      <c r="F474" s="458">
        <v>2.2000000000000001E-3</v>
      </c>
      <c r="G474" s="459"/>
      <c r="H474" s="460">
        <f>(D474*Data!$AI$5)+((E474/1000)*Data!$AI$6)+((F474/1000)*Data!$AI$7)</f>
        <v>0.108571716</v>
      </c>
      <c r="I474" s="461">
        <f>(D474*Data!$AJ$5)+((E474/1000)*Data!$AJ$6)+((F474/1000)*Data!$AJ$7)</f>
        <v>0.10855411999999999</v>
      </c>
      <c r="J474" s="458" t="s">
        <v>505</v>
      </c>
      <c r="K474" s="464" t="s">
        <v>503</v>
      </c>
    </row>
    <row r="475" spans="2:11" ht="15.75">
      <c r="B475" s="458" t="s">
        <v>506</v>
      </c>
      <c r="C475" s="459"/>
      <c r="D475" s="458">
        <v>0.85360999999999998</v>
      </c>
      <c r="E475" s="458">
        <v>1.7000000000000001E-4</v>
      </c>
      <c r="F475" s="458">
        <v>1.277E-2</v>
      </c>
      <c r="G475" s="459"/>
      <c r="H475" s="460">
        <f>(D475*Data!$AI$5)+((E475/1000)*Data!$AI$6)+((F475/1000)*Data!$AI$7)</f>
        <v>0.857100953</v>
      </c>
      <c r="I475" s="461">
        <f>(D475*Data!$AJ$5)+((E475/1000)*Data!$AJ$6)+((F475/1000)*Data!$AJ$7)</f>
        <v>0.85699881</v>
      </c>
      <c r="J475" s="458" t="s">
        <v>384</v>
      </c>
      <c r="K475" s="464" t="s">
        <v>503</v>
      </c>
    </row>
    <row r="476" spans="2:11" ht="15.75">
      <c r="B476" s="458" t="s">
        <v>507</v>
      </c>
      <c r="C476" s="459"/>
      <c r="D476" s="458">
        <v>1.37375</v>
      </c>
      <c r="E476" s="458">
        <v>2.7E-4</v>
      </c>
      <c r="F476" s="458">
        <v>2.0549999999999999E-2</v>
      </c>
      <c r="G476" s="459"/>
      <c r="H476" s="460">
        <f>(D476*Data!$AI$5)+((E476/1000)*Data!$AI$6)+((F476/1000)*Data!$AI$7)</f>
        <v>1.3793676830000001</v>
      </c>
      <c r="I476" s="461">
        <f>(D476*Data!$AJ$5)+((E476/1000)*Data!$AJ$6)+((F476/1000)*Data!$AJ$7)</f>
        <v>1.3792033100000001</v>
      </c>
      <c r="J476" s="458" t="s">
        <v>99</v>
      </c>
      <c r="K476" s="464" t="s">
        <v>503</v>
      </c>
    </row>
    <row r="477" spans="2:11" ht="15.75">
      <c r="B477" s="458" t="s">
        <v>508</v>
      </c>
      <c r="C477" s="459"/>
      <c r="D477" s="458">
        <v>0.12684685272003871</v>
      </c>
      <c r="E477" s="458">
        <v>4.0000000000000003E-5</v>
      </c>
      <c r="F477" s="458">
        <v>2.2000000000000001E-3</v>
      </c>
      <c r="G477" s="459"/>
      <c r="H477" s="460">
        <f>(D477*Data!$AI$5)+((E477/1000)*Data!$AI$6)+((F477/1000)*Data!$AI$7)</f>
        <v>0.12744856872003871</v>
      </c>
      <c r="I477" s="461">
        <f>(D477*Data!$AJ$5)+((E477/1000)*Data!$AJ$6)+((F477/1000)*Data!$AJ$7)</f>
        <v>0.1274309727200387</v>
      </c>
      <c r="J477" s="458" t="s">
        <v>505</v>
      </c>
      <c r="K477" s="464" t="s">
        <v>503</v>
      </c>
    </row>
    <row r="478" spans="2:11" ht="15.75">
      <c r="B478" s="458" t="s">
        <v>509</v>
      </c>
      <c r="C478" s="459"/>
      <c r="D478" s="458">
        <v>1.0028502542405506</v>
      </c>
      <c r="E478" s="458">
        <v>1.7000000000000001E-4</v>
      </c>
      <c r="F478" s="458">
        <v>1.277E-2</v>
      </c>
      <c r="G478" s="459"/>
      <c r="H478" s="460">
        <f>(D478*Data!$AI$5)+((E478/1000)*Data!$AI$6)+((F478/1000)*Data!$AI$7)</f>
        <v>1.0063412072405507</v>
      </c>
      <c r="I478" s="461">
        <f>(D478*Data!$AJ$5)+((E478/1000)*Data!$AJ$6)+((F478/1000)*Data!$AJ$7)</f>
        <v>1.0062390642405505</v>
      </c>
      <c r="J478" s="458" t="s">
        <v>384</v>
      </c>
      <c r="K478" s="464" t="s">
        <v>503</v>
      </c>
    </row>
    <row r="479" spans="2:11" ht="15.75">
      <c r="B479" s="458" t="s">
        <v>510</v>
      </c>
      <c r="C479" s="459"/>
      <c r="D479" s="458">
        <v>1.6139300000000001</v>
      </c>
      <c r="E479" s="458">
        <v>2.7E-4</v>
      </c>
      <c r="F479" s="458">
        <v>2.0549999999999999E-2</v>
      </c>
      <c r="G479" s="459"/>
      <c r="H479" s="460">
        <f>(D479*Data!$AI$5)+((E479/1000)*Data!$AI$6)+((F479/1000)*Data!$AI$7)</f>
        <v>1.6195476830000002</v>
      </c>
      <c r="I479" s="461">
        <f>(D479*Data!$AJ$5)+((E479/1000)*Data!$AJ$6)+((F479/1000)*Data!$AJ$7)</f>
        <v>1.6193833100000001</v>
      </c>
      <c r="J479" s="458" t="s">
        <v>99</v>
      </c>
      <c r="K479" s="464" t="s">
        <v>503</v>
      </c>
    </row>
    <row r="480" spans="2:11" ht="15.75">
      <c r="B480" s="458" t="s">
        <v>511</v>
      </c>
      <c r="C480" s="459"/>
      <c r="D480" s="458">
        <v>2.6156100000000002</v>
      </c>
      <c r="E480" s="458">
        <v>2.3400000000000001E-3</v>
      </c>
      <c r="F480" s="458">
        <v>2.4750000000000001E-2</v>
      </c>
      <c r="G480" s="459"/>
      <c r="H480" s="460">
        <f>(D480*Data!$AI$5)+((E480/1000)*Data!$AI$6)+((F480/1000)*Data!$AI$7)</f>
        <v>2.6224320360000002</v>
      </c>
      <c r="I480" s="461">
        <f>(D480*Data!$AJ$5)+((E480/1000)*Data!$AJ$6)+((F480/1000)*Data!$AJ$7)</f>
        <v>2.6222342700000003</v>
      </c>
      <c r="J480" s="458" t="s">
        <v>505</v>
      </c>
      <c r="K480" s="464" t="s">
        <v>503</v>
      </c>
    </row>
    <row r="481" spans="2:11" ht="15.75">
      <c r="B481" s="458" t="s">
        <v>512</v>
      </c>
      <c r="C481" s="459"/>
      <c r="D481" s="458">
        <v>1.24621</v>
      </c>
      <c r="E481" s="458">
        <v>9.0000000000000006E-5</v>
      </c>
      <c r="F481" s="458">
        <v>1.179E-2</v>
      </c>
      <c r="G481" s="459"/>
      <c r="H481" s="460">
        <f>(D481*Data!$AI$5)+((E481/1000)*Data!$AI$6)+((F481/1000)*Data!$AI$7)</f>
        <v>1.2494311810000001</v>
      </c>
      <c r="I481" s="461">
        <f>(D481*Data!$AJ$5)+((E481/1000)*Data!$AJ$6)+((F481/1000)*Data!$AJ$7)</f>
        <v>1.24933687</v>
      </c>
      <c r="J481" s="458" t="s">
        <v>505</v>
      </c>
      <c r="K481" s="464" t="s">
        <v>503</v>
      </c>
    </row>
    <row r="482" spans="2:11" ht="15.75">
      <c r="B482" s="458" t="s">
        <v>513</v>
      </c>
      <c r="C482" s="459"/>
      <c r="D482" s="458">
        <v>0.59267999999999998</v>
      </c>
      <c r="E482" s="458">
        <v>4.0000000000000003E-5</v>
      </c>
      <c r="F482" s="458">
        <v>5.6100000000000004E-3</v>
      </c>
      <c r="G482" s="459"/>
      <c r="H482" s="460">
        <f>(D482*Data!$AI$5)+((E482/1000)*Data!$AI$6)+((F482/1000)*Data!$AI$7)</f>
        <v>0.5942126459999999</v>
      </c>
      <c r="I482" s="461">
        <f>(D482*Data!$AJ$5)+((E482/1000)*Data!$AJ$6)+((F482/1000)*Data!$AJ$7)</f>
        <v>0.59416776999999998</v>
      </c>
      <c r="J482" s="458" t="s">
        <v>505</v>
      </c>
      <c r="K482" s="464" t="s">
        <v>503</v>
      </c>
    </row>
    <row r="483" spans="2:11" ht="15.75">
      <c r="B483" s="458" t="s">
        <v>514</v>
      </c>
      <c r="C483" s="459"/>
      <c r="D483" s="458">
        <v>0.59267999999999998</v>
      </c>
      <c r="E483" s="458">
        <v>4.0000000000000003E-5</v>
      </c>
      <c r="F483" s="458">
        <v>5.6100000000000004E-3</v>
      </c>
      <c r="G483" s="459"/>
      <c r="H483" s="460">
        <f>(D483*Data!$AI$5)+((E483/1000)*Data!$AI$6)+((F483/1000)*Data!$AI$7)</f>
        <v>0.5942126459999999</v>
      </c>
      <c r="I483" s="461">
        <f>(D483*Data!$AJ$5)+((E483/1000)*Data!$AJ$6)+((F483/1000)*Data!$AJ$7)</f>
        <v>0.59416776999999998</v>
      </c>
      <c r="J483" s="458" t="s">
        <v>505</v>
      </c>
      <c r="K483" s="464" t="s">
        <v>503</v>
      </c>
    </row>
    <row r="484" spans="2:11" ht="15.75">
      <c r="B484" s="458" t="s">
        <v>515</v>
      </c>
      <c r="C484" s="459"/>
      <c r="D484" s="458">
        <v>3.2989999999999998E-2</v>
      </c>
      <c r="E484" s="458">
        <v>3.0000000000000001E-5</v>
      </c>
      <c r="F484" s="458">
        <v>3.1E-4</v>
      </c>
      <c r="G484" s="459"/>
      <c r="H484" s="460">
        <f>(D484*Data!$AI$5)+((E484/1000)*Data!$AI$6)+((F484/1000)*Data!$AI$7)</f>
        <v>3.3075466999999997E-2</v>
      </c>
      <c r="I484" s="461">
        <f>(D484*Data!$AJ$5)+((E484/1000)*Data!$AJ$6)+((F484/1000)*Data!$AJ$7)</f>
        <v>3.3072990000000003E-2</v>
      </c>
      <c r="J484" s="458" t="s">
        <v>505</v>
      </c>
      <c r="K484" s="464" t="s">
        <v>503</v>
      </c>
    </row>
    <row r="485" spans="2:11" ht="15.75">
      <c r="B485" s="458" t="s">
        <v>516</v>
      </c>
      <c r="C485" s="459"/>
      <c r="D485" s="458">
        <v>4.5100000000000001E-3</v>
      </c>
      <c r="E485" s="458">
        <v>9.9999999999999995E-7</v>
      </c>
      <c r="F485" s="458">
        <v>6.0999999999999999E-5</v>
      </c>
      <c r="G485" s="459"/>
      <c r="H485" s="460">
        <f>(D485*Data!$AI$5)+((E485/1000)*Data!$AI$6)+((F485/1000)*Data!$AI$7)</f>
        <v>4.5266809000000007E-3</v>
      </c>
      <c r="I485" s="461">
        <f>(D485*Data!$AJ$5)+((E485/1000)*Data!$AJ$6)+((F485/1000)*Data!$AJ$7)</f>
        <v>4.5261930000000004E-3</v>
      </c>
      <c r="J485" s="458" t="s">
        <v>505</v>
      </c>
      <c r="K485" s="464" t="s">
        <v>503</v>
      </c>
    </row>
    <row r="486" spans="2:11" ht="15.75">
      <c r="B486" s="458" t="s">
        <v>517</v>
      </c>
      <c r="C486" s="459"/>
      <c r="D486" s="458">
        <v>8.9099999999999995E-3</v>
      </c>
      <c r="E486" s="458">
        <v>3.0000000000000001E-6</v>
      </c>
      <c r="F486" s="458">
        <v>1.21E-4</v>
      </c>
      <c r="G486" s="459"/>
      <c r="H486" s="460">
        <f>(D486*Data!$AI$5)+((E486/1000)*Data!$AI$6)+((F486/1000)*Data!$AI$7)</f>
        <v>8.9431166999999999E-3</v>
      </c>
      <c r="I486" s="461">
        <f>(D486*Data!$AJ$5)+((E486/1000)*Data!$AJ$6)+((F486/1000)*Data!$AJ$7)</f>
        <v>8.9421489999999982E-3</v>
      </c>
      <c r="J486" s="458" t="s">
        <v>505</v>
      </c>
      <c r="K486" s="464" t="s">
        <v>503</v>
      </c>
    </row>
    <row r="487" spans="2:11" ht="15.75">
      <c r="B487" s="458" t="s">
        <v>518</v>
      </c>
      <c r="C487" s="459"/>
      <c r="D487" s="458">
        <v>1.018E-2</v>
      </c>
      <c r="E487" s="458">
        <v>3.0000000000000001E-6</v>
      </c>
      <c r="F487" s="458">
        <v>1.3899999999999999E-4</v>
      </c>
      <c r="G487" s="459"/>
      <c r="H487" s="460">
        <f>(D487*Data!$AI$5)+((E487/1000)*Data!$AI$6)+((F487/1000)*Data!$AI$7)</f>
        <v>1.02180307E-2</v>
      </c>
      <c r="I487" s="461">
        <f>(D487*Data!$AJ$5)+((E487/1000)*Data!$AJ$6)+((F487/1000)*Data!$AJ$7)</f>
        <v>1.0216919E-2</v>
      </c>
      <c r="J487" s="458" t="s">
        <v>505</v>
      </c>
      <c r="K487" s="464" t="s">
        <v>503</v>
      </c>
    </row>
    <row r="488" spans="2:11" ht="15.75">
      <c r="B488" s="458" t="s">
        <v>519</v>
      </c>
      <c r="C488" s="459"/>
      <c r="D488" s="458">
        <v>1.1390000000000001E-2</v>
      </c>
      <c r="E488" s="458">
        <v>3.0000000000000001E-6</v>
      </c>
      <c r="F488" s="458">
        <v>1.55E-4</v>
      </c>
      <c r="G488" s="459"/>
      <c r="H488" s="460">
        <f>(D488*Data!$AI$5)+((E488/1000)*Data!$AI$6)+((F488/1000)*Data!$AI$7)</f>
        <v>1.1432398700000001E-2</v>
      </c>
      <c r="I488" s="461">
        <f>(D488*Data!$AJ$5)+((E488/1000)*Data!$AJ$6)+((F488/1000)*Data!$AJ$7)</f>
        <v>1.1431159E-2</v>
      </c>
      <c r="J488" s="458" t="s">
        <v>505</v>
      </c>
      <c r="K488" s="464" t="s">
        <v>503</v>
      </c>
    </row>
    <row r="489" spans="2:11" ht="15.75">
      <c r="B489" s="458" t="s">
        <v>520</v>
      </c>
      <c r="C489" s="459"/>
      <c r="D489" s="458">
        <v>1.0240000000000001E-2</v>
      </c>
      <c r="E489" s="458">
        <v>3.0000000000000001E-6</v>
      </c>
      <c r="F489" s="458">
        <v>1.3999999999999999E-4</v>
      </c>
      <c r="G489" s="459"/>
      <c r="H489" s="460">
        <f>(D489*Data!$AI$5)+((E489/1000)*Data!$AI$6)+((F489/1000)*Data!$AI$7)</f>
        <v>1.0278303700000001E-2</v>
      </c>
      <c r="I489" s="461">
        <f>(D489*Data!$AJ$5)+((E489/1000)*Data!$AJ$6)+((F489/1000)*Data!$AJ$7)</f>
        <v>1.0277184E-2</v>
      </c>
      <c r="J489" s="458" t="s">
        <v>505</v>
      </c>
      <c r="K489" s="464" t="s">
        <v>503</v>
      </c>
    </row>
    <row r="490" spans="2:11" ht="15.75">
      <c r="B490" s="458" t="s">
        <v>521</v>
      </c>
      <c r="C490" s="459"/>
      <c r="D490" s="458">
        <v>3.49E-3</v>
      </c>
      <c r="E490" s="458">
        <v>9.9999999999999995E-7</v>
      </c>
      <c r="F490" s="458">
        <v>4.8000000000000001E-5</v>
      </c>
      <c r="G490" s="459"/>
      <c r="H490" s="460">
        <f>(D490*Data!$AI$5)+((E490/1000)*Data!$AI$6)+((F490/1000)*Data!$AI$7)</f>
        <v>3.5031318999999999E-3</v>
      </c>
      <c r="I490" s="461">
        <f>(D490*Data!$AJ$5)+((E490/1000)*Data!$AJ$6)+((F490/1000)*Data!$AJ$7)</f>
        <v>3.502748E-3</v>
      </c>
      <c r="J490" s="458" t="s">
        <v>505</v>
      </c>
      <c r="K490" s="464" t="s">
        <v>503</v>
      </c>
    </row>
    <row r="491" spans="2:11" ht="15.75">
      <c r="B491" s="458" t="s">
        <v>522</v>
      </c>
      <c r="C491" s="459"/>
      <c r="D491" s="458">
        <v>1.3050000000000001E-2</v>
      </c>
      <c r="E491" s="458">
        <v>3.9999999999999998E-6</v>
      </c>
      <c r="F491" s="458">
        <v>1.7799999999999999E-4</v>
      </c>
      <c r="G491" s="459"/>
      <c r="H491" s="460">
        <f>(D491*Data!$AI$5)+((E491/1000)*Data!$AI$6)+((F491/1000)*Data!$AI$7)</f>
        <v>1.3098705600000001E-2</v>
      </c>
      <c r="I491" s="461">
        <f>(D491*Data!$AJ$5)+((E491/1000)*Data!$AJ$6)+((F491/1000)*Data!$AJ$7)</f>
        <v>1.3097282E-2</v>
      </c>
      <c r="J491" s="458" t="s">
        <v>505</v>
      </c>
      <c r="K491" s="464" t="s">
        <v>503</v>
      </c>
    </row>
    <row r="492" spans="2:11" ht="15.75">
      <c r="B492" s="458" t="s">
        <v>523</v>
      </c>
      <c r="C492" s="459"/>
      <c r="D492" s="458">
        <v>1.592E-2</v>
      </c>
      <c r="E492" s="458">
        <v>5.0000000000000004E-6</v>
      </c>
      <c r="F492" s="458">
        <v>2.1699999999999999E-4</v>
      </c>
      <c r="G492" s="459"/>
      <c r="H492" s="460">
        <f>(D492*Data!$AI$5)+((E492/1000)*Data!$AI$6)+((F492/1000)*Data!$AI$7)</f>
        <v>1.5979380500000001E-2</v>
      </c>
      <c r="I492" s="461">
        <f>(D492*Data!$AJ$5)+((E492/1000)*Data!$AJ$6)+((F492/1000)*Data!$AJ$7)</f>
        <v>1.5977644999999999E-2</v>
      </c>
      <c r="J492" s="458" t="s">
        <v>505</v>
      </c>
      <c r="K492" s="464" t="s">
        <v>503</v>
      </c>
    </row>
    <row r="493" spans="2:11" ht="15.75">
      <c r="B493" s="458" t="s">
        <v>524</v>
      </c>
      <c r="C493" s="459"/>
      <c r="D493" s="458">
        <v>3.805E-2</v>
      </c>
      <c r="E493" s="458">
        <v>1.1E-5</v>
      </c>
      <c r="F493" s="458">
        <v>5.1900000000000004E-4</v>
      </c>
      <c r="G493" s="459"/>
      <c r="H493" s="460">
        <f>(D493*Data!$AI$5)+((E493/1000)*Data!$AI$6)+((F493/1000)*Data!$AI$7)</f>
        <v>3.8191993899999999E-2</v>
      </c>
      <c r="I493" s="461">
        <f>(D493*Data!$AJ$5)+((E493/1000)*Data!$AJ$6)+((F493/1000)*Data!$AJ$7)</f>
        <v>3.8187842999999999E-2</v>
      </c>
      <c r="J493" s="458" t="s">
        <v>505</v>
      </c>
      <c r="K493" s="464" t="s">
        <v>503</v>
      </c>
    </row>
    <row r="494" spans="2:11" ht="15.75">
      <c r="B494" s="458" t="s">
        <v>525</v>
      </c>
      <c r="C494" s="459"/>
      <c r="D494" s="458">
        <v>5.0950000000000002E-2</v>
      </c>
      <c r="E494" s="458">
        <v>1.5E-5</v>
      </c>
      <c r="F494" s="458">
        <v>6.9399999999999996E-4</v>
      </c>
      <c r="G494" s="459"/>
      <c r="H494" s="460">
        <f>(D494*Data!$AI$5)+((E494/1000)*Data!$AI$6)+((F494/1000)*Data!$AI$7)</f>
        <v>5.1139880500000005E-2</v>
      </c>
      <c r="I494" s="461">
        <f>(D494*Data!$AJ$5)+((E494/1000)*Data!$AJ$6)+((F494/1000)*Data!$AJ$7)</f>
        <v>5.1134330000000006E-2</v>
      </c>
      <c r="J494" s="458" t="s">
        <v>505</v>
      </c>
      <c r="K494" s="464" t="s">
        <v>503</v>
      </c>
    </row>
    <row r="495" spans="2:11" ht="15.75">
      <c r="B495" s="458" t="s">
        <v>526</v>
      </c>
      <c r="C495" s="459"/>
      <c r="D495" s="458">
        <v>0.3715</v>
      </c>
      <c r="E495" s="458">
        <v>1.12E-4</v>
      </c>
      <c r="F495" s="458">
        <v>5.0619999999999997E-3</v>
      </c>
      <c r="G495" s="459"/>
      <c r="H495" s="460">
        <f>(D495*Data!$AI$5)+((E495/1000)*Data!$AI$6)+((F495/1000)*Data!$AI$7)</f>
        <v>0.37288505079999995</v>
      </c>
      <c r="I495" s="461">
        <f>(D495*Data!$AJ$5)+((E495/1000)*Data!$AJ$6)+((F495/1000)*Data!$AJ$7)</f>
        <v>0.37284456599999999</v>
      </c>
      <c r="J495" s="458" t="s">
        <v>505</v>
      </c>
      <c r="K495" s="464" t="s">
        <v>503</v>
      </c>
    </row>
    <row r="496" spans="2:11" ht="15.75">
      <c r="B496" s="458" t="s">
        <v>527</v>
      </c>
      <c r="C496" s="459"/>
      <c r="D496" s="458">
        <v>1.29E-2</v>
      </c>
      <c r="E496" s="458">
        <v>3.9999999999999998E-6</v>
      </c>
      <c r="F496" s="458">
        <v>1.76E-4</v>
      </c>
      <c r="G496" s="459"/>
      <c r="H496" s="460">
        <f>(D496*Data!$AI$5)+((E496/1000)*Data!$AI$6)+((F496/1000)*Data!$AI$7)</f>
        <v>1.29481596E-2</v>
      </c>
      <c r="I496" s="461">
        <f>(D496*Data!$AJ$5)+((E496/1000)*Data!$AJ$6)+((F496/1000)*Data!$AJ$7)</f>
        <v>1.2946752000000001E-2</v>
      </c>
      <c r="J496" s="458" t="s">
        <v>505</v>
      </c>
      <c r="K496" s="464" t="s">
        <v>503</v>
      </c>
    </row>
    <row r="497" spans="2:11" ht="15.75">
      <c r="B497" s="458" t="s">
        <v>528</v>
      </c>
      <c r="C497" s="459"/>
      <c r="D497" s="458">
        <v>0.25355</v>
      </c>
      <c r="E497" s="458">
        <v>1.2E-4</v>
      </c>
      <c r="F497" s="458">
        <v>1.2600000000000001E-3</v>
      </c>
      <c r="G497" s="459"/>
      <c r="H497" s="460">
        <f>(D497*Data!$AI$5)+((E497/1000)*Data!$AI$6)+((F497/1000)*Data!$AI$7)</f>
        <v>0.25389732800000003</v>
      </c>
      <c r="I497" s="461">
        <f>(D497*Data!$AJ$5)+((E497/1000)*Data!$AJ$6)+((F497/1000)*Data!$AJ$7)</f>
        <v>0.25388726</v>
      </c>
      <c r="J497" s="458" t="s">
        <v>481</v>
      </c>
      <c r="K497" s="464" t="s">
        <v>485</v>
      </c>
    </row>
    <row r="498" spans="2:11" ht="15.75">
      <c r="B498" s="458" t="s">
        <v>529</v>
      </c>
      <c r="C498" s="459"/>
      <c r="D498" s="458">
        <v>0.15753</v>
      </c>
      <c r="E498" s="458">
        <v>1.0000000000000001E-5</v>
      </c>
      <c r="F498" s="458">
        <v>7.7999999999999999E-4</v>
      </c>
      <c r="G498" s="459"/>
      <c r="H498" s="460">
        <f>(D498*Data!$AI$5)+((E498/1000)*Data!$AI$6)+((F498/1000)*Data!$AI$7)</f>
        <v>0.15774321899999999</v>
      </c>
      <c r="I498" s="461">
        <f>(D498*Data!$AJ$5)+((E498/1000)*Data!$AJ$6)+((F498/1000)*Data!$AJ$7)</f>
        <v>0.15773698</v>
      </c>
      <c r="J498" s="458" t="s">
        <v>481</v>
      </c>
      <c r="K498" s="464" t="s">
        <v>485</v>
      </c>
    </row>
    <row r="499" spans="2:11" ht="15.75">
      <c r="B499" s="458" t="s">
        <v>530</v>
      </c>
      <c r="C499" s="459"/>
      <c r="D499" s="458">
        <v>0.15495</v>
      </c>
      <c r="E499" s="458">
        <v>1.0000000000000001E-5</v>
      </c>
      <c r="F499" s="458">
        <v>7.6999999999999996E-4</v>
      </c>
      <c r="G499" s="459"/>
      <c r="H499" s="460">
        <f>(D499*Data!$AI$5)+((E499/1000)*Data!$AI$6)+((F499/1000)*Data!$AI$7)</f>
        <v>0.15516048899999998</v>
      </c>
      <c r="I499" s="461">
        <f>(D499*Data!$AJ$5)+((E499/1000)*Data!$AJ$6)+((F499/1000)*Data!$AJ$7)</f>
        <v>0.15515433000000001</v>
      </c>
      <c r="J499" s="458" t="s">
        <v>481</v>
      </c>
      <c r="K499" s="464" t="s">
        <v>485</v>
      </c>
    </row>
    <row r="500" spans="2:11" ht="15.75">
      <c r="B500" s="458" t="s">
        <v>531</v>
      </c>
      <c r="C500" s="459"/>
      <c r="D500" s="458">
        <v>0.23243</v>
      </c>
      <c r="E500" s="458">
        <v>1.0000000000000001E-5</v>
      </c>
      <c r="F500" s="458">
        <v>1.16E-3</v>
      </c>
      <c r="G500" s="459"/>
      <c r="H500" s="460">
        <f>(D500*Data!$AI$5)+((E500/1000)*Data!$AI$6)+((F500/1000)*Data!$AI$7)</f>
        <v>0.232746959</v>
      </c>
      <c r="I500" s="461">
        <f>(D500*Data!$AJ$5)+((E500/1000)*Data!$AJ$6)+((F500/1000)*Data!$AJ$7)</f>
        <v>0.23273768</v>
      </c>
      <c r="J500" s="458" t="s">
        <v>481</v>
      </c>
      <c r="K500" s="464" t="s">
        <v>485</v>
      </c>
    </row>
    <row r="501" spans="2:11" ht="15.75">
      <c r="B501" s="458" t="s">
        <v>532</v>
      </c>
      <c r="C501" s="459"/>
      <c r="D501" s="458">
        <v>0.19464000000000001</v>
      </c>
      <c r="E501" s="458">
        <v>1.0000000000000001E-5</v>
      </c>
      <c r="F501" s="458">
        <v>9.7000000000000005E-4</v>
      </c>
      <c r="G501" s="459"/>
      <c r="H501" s="460">
        <f>(D501*Data!$AI$5)+((E501/1000)*Data!$AI$6)+((F501/1000)*Data!$AI$7)</f>
        <v>0.194905089</v>
      </c>
      <c r="I501" s="461">
        <f>(D501*Data!$AJ$5)+((E501/1000)*Data!$AJ$6)+((F501/1000)*Data!$AJ$7)</f>
        <v>0.19489733000000001</v>
      </c>
      <c r="J501" s="458" t="s">
        <v>481</v>
      </c>
      <c r="K501" s="464" t="s">
        <v>485</v>
      </c>
    </row>
    <row r="502" spans="2:11" ht="15.75">
      <c r="B502" s="458" t="s">
        <v>533</v>
      </c>
      <c r="C502" s="459"/>
      <c r="D502" s="458">
        <v>0.14906</v>
      </c>
      <c r="E502" s="458">
        <v>1.0000000000000001E-5</v>
      </c>
      <c r="F502" s="458">
        <v>7.3999999999999999E-4</v>
      </c>
      <c r="G502" s="459"/>
      <c r="H502" s="460">
        <f>(D502*Data!$AI$5)+((E502/1000)*Data!$AI$6)+((F502/1000)*Data!$AI$7)</f>
        <v>0.14926229899999999</v>
      </c>
      <c r="I502" s="461">
        <f>(D502*Data!$AJ$5)+((E502/1000)*Data!$AJ$6)+((F502/1000)*Data!$AJ$7)</f>
        <v>0.14925637999999999</v>
      </c>
      <c r="J502" s="458" t="s">
        <v>481</v>
      </c>
      <c r="K502" s="464" t="s">
        <v>485</v>
      </c>
    </row>
    <row r="503" spans="2:11" ht="15.75">
      <c r="B503" s="458" t="s">
        <v>534</v>
      </c>
      <c r="C503" s="459"/>
      <c r="D503" s="458">
        <v>0.23849999999999999</v>
      </c>
      <c r="E503" s="458">
        <v>1.0000000000000001E-5</v>
      </c>
      <c r="F503" s="458">
        <v>1.1900000000000001E-3</v>
      </c>
      <c r="G503" s="459"/>
      <c r="H503" s="460">
        <f>(D503*Data!$AI$5)+((E503/1000)*Data!$AI$6)+((F503/1000)*Data!$AI$7)</f>
        <v>0.23882514899999999</v>
      </c>
      <c r="I503" s="461">
        <f>(D503*Data!$AJ$5)+((E503/1000)*Data!$AJ$6)+((F503/1000)*Data!$AJ$7)</f>
        <v>0.23881562999999997</v>
      </c>
      <c r="J503" s="458" t="s">
        <v>481</v>
      </c>
      <c r="K503" s="464" t="s">
        <v>485</v>
      </c>
    </row>
    <row r="504" spans="2:11" ht="15.75">
      <c r="B504" s="458" t="s">
        <v>535</v>
      </c>
      <c r="C504" s="459"/>
      <c r="D504" s="458">
        <v>0.43229000000000001</v>
      </c>
      <c r="E504" s="458">
        <v>2.0000000000000002E-5</v>
      </c>
      <c r="F504" s="458">
        <v>2.15E-3</v>
      </c>
      <c r="G504" s="459"/>
      <c r="H504" s="460">
        <f>(D504*Data!$AI$5)+((E504/1000)*Data!$AI$6)+((F504/1000)*Data!$AI$7)</f>
        <v>0.43287750799999997</v>
      </c>
      <c r="I504" s="461">
        <f>(D504*Data!$AJ$5)+((E504/1000)*Data!$AJ$6)+((F504/1000)*Data!$AJ$7)</f>
        <v>0.43286030999999997</v>
      </c>
      <c r="J504" s="458" t="s">
        <v>481</v>
      </c>
      <c r="K504" s="464" t="s">
        <v>485</v>
      </c>
    </row>
    <row r="505" spans="2:11" ht="15.75">
      <c r="B505" s="458" t="s">
        <v>536</v>
      </c>
      <c r="C505" s="459"/>
      <c r="D505" s="458">
        <v>0.59626000000000001</v>
      </c>
      <c r="E505" s="458">
        <v>2.0000000000000002E-5</v>
      </c>
      <c r="F505" s="458">
        <v>2.97E-3</v>
      </c>
      <c r="G505" s="459"/>
      <c r="H505" s="460">
        <f>(D505*Data!$AI$5)+((E505/1000)*Data!$AI$6)+((F505/1000)*Data!$AI$7)</f>
        <v>0.59707136800000005</v>
      </c>
      <c r="I505" s="461">
        <f>(D505*Data!$AJ$5)+((E505/1000)*Data!$AJ$6)+((F505/1000)*Data!$AJ$7)</f>
        <v>0.59704761000000006</v>
      </c>
      <c r="J505" s="458" t="s">
        <v>481</v>
      </c>
      <c r="K505" s="464" t="s">
        <v>485</v>
      </c>
    </row>
    <row r="506" spans="2:11" ht="15.75">
      <c r="B506" s="458" t="s">
        <v>537</v>
      </c>
      <c r="C506" s="459"/>
      <c r="D506" s="458">
        <v>0.17987</v>
      </c>
      <c r="E506" s="458">
        <v>1.0000000000000001E-5</v>
      </c>
      <c r="F506" s="458">
        <v>8.9999999999999998E-4</v>
      </c>
      <c r="G506" s="459"/>
      <c r="H506" s="460">
        <f>(D506*Data!$AI$5)+((E506/1000)*Data!$AI$6)+((F506/1000)*Data!$AI$7)</f>
        <v>0.18011597899999998</v>
      </c>
      <c r="I506" s="461">
        <f>(D506*Data!$AJ$5)+((E506/1000)*Data!$AJ$6)+((F506/1000)*Data!$AJ$7)</f>
        <v>0.18010878</v>
      </c>
      <c r="J506" s="458" t="s">
        <v>481</v>
      </c>
      <c r="K506" s="464" t="s">
        <v>485</v>
      </c>
    </row>
    <row r="507" spans="2:11" ht="15.75">
      <c r="B507" s="458" t="s">
        <v>538</v>
      </c>
      <c r="C507" s="459"/>
      <c r="D507" s="458">
        <v>0.13775000000000001</v>
      </c>
      <c r="E507" s="458">
        <v>5.0000000000000004E-6</v>
      </c>
      <c r="F507" s="458">
        <v>6.8999999999999997E-4</v>
      </c>
      <c r="G507" s="459"/>
      <c r="H507" s="460">
        <f>(D507*Data!$AI$5)+((E507/1000)*Data!$AI$6)+((F507/1000)*Data!$AI$7)</f>
        <v>0.1379385095</v>
      </c>
      <c r="I507" s="461">
        <f>(D507*Data!$AJ$5)+((E507/1000)*Data!$AJ$6)+((F507/1000)*Data!$AJ$7)</f>
        <v>0.13793299000000003</v>
      </c>
      <c r="J507" s="458" t="s">
        <v>481</v>
      </c>
      <c r="K507" s="464" t="s">
        <v>485</v>
      </c>
    </row>
    <row r="508" spans="2:11" ht="15.75">
      <c r="B508" s="458" t="s">
        <v>539</v>
      </c>
      <c r="C508" s="459"/>
      <c r="D508" s="458">
        <v>0.22040000000000001</v>
      </c>
      <c r="E508" s="458">
        <v>1.0000000000000001E-5</v>
      </c>
      <c r="F508" s="458">
        <v>1.1000000000000001E-3</v>
      </c>
      <c r="G508" s="459"/>
      <c r="H508" s="460">
        <f>(D508*Data!$AI$5)+((E508/1000)*Data!$AI$6)+((F508/1000)*Data!$AI$7)</f>
        <v>0.22070057900000001</v>
      </c>
      <c r="I508" s="461">
        <f>(D508*Data!$AJ$5)+((E508/1000)*Data!$AJ$6)+((F508/1000)*Data!$AJ$7)</f>
        <v>0.22069178</v>
      </c>
      <c r="J508" s="458" t="s">
        <v>481</v>
      </c>
      <c r="K508" s="464" t="s">
        <v>485</v>
      </c>
    </row>
    <row r="509" spans="2:11" ht="15.75">
      <c r="B509" s="458" t="s">
        <v>540</v>
      </c>
      <c r="C509" s="459"/>
      <c r="D509" s="458">
        <v>0.39948</v>
      </c>
      <c r="E509" s="458">
        <v>2.0000000000000002E-5</v>
      </c>
      <c r="F509" s="458">
        <v>1.99E-3</v>
      </c>
      <c r="G509" s="459"/>
      <c r="H509" s="460">
        <f>(D509*Data!$AI$5)+((E509/1000)*Data!$AI$6)+((F509/1000)*Data!$AI$7)</f>
        <v>0.40002382799999997</v>
      </c>
      <c r="I509" s="461">
        <f>(D509*Data!$AJ$5)+((E509/1000)*Data!$AJ$6)+((F509/1000)*Data!$AJ$7)</f>
        <v>0.40000790999999997</v>
      </c>
      <c r="J509" s="458" t="s">
        <v>481</v>
      </c>
      <c r="K509" s="464" t="s">
        <v>485</v>
      </c>
    </row>
    <row r="510" spans="2:11" ht="15.75">
      <c r="B510" s="458" t="s">
        <v>541</v>
      </c>
      <c r="C510" s="459"/>
      <c r="D510" s="458">
        <v>0.55100000000000005</v>
      </c>
      <c r="E510" s="458">
        <v>2.0000000000000002E-5</v>
      </c>
      <c r="F510" s="458">
        <v>2.7399999999999998E-3</v>
      </c>
      <c r="G510" s="459"/>
      <c r="H510" s="462">
        <f>(D510*Data!$AI$5)+((E510/1000)*Data!$AI$6)+((F510/1000)*Data!$AI$7)</f>
        <v>0.55174857799999999</v>
      </c>
      <c r="I510" s="463">
        <f>(D510*Data!$AJ$5)+((E510/1000)*Data!$AJ$6)+((F510/1000)*Data!$AJ$7)</f>
        <v>0.55172666000000004</v>
      </c>
      <c r="J510" s="458" t="s">
        <v>481</v>
      </c>
      <c r="K510" s="464" t="s">
        <v>485</v>
      </c>
    </row>
    <row r="511" spans="2:11" ht="15.75">
      <c r="B511" s="458" t="s">
        <v>542</v>
      </c>
      <c r="C511" s="459"/>
      <c r="D511" s="458">
        <v>4.9696499999999997</v>
      </c>
      <c r="E511" s="458">
        <v>2.3400000000000001E-3</v>
      </c>
      <c r="F511" s="458">
        <v>2.4750000000000001E-2</v>
      </c>
      <c r="G511" s="459"/>
      <c r="H511" s="460">
        <f>(D511*Data!$AI$5)+((E511/1000)*Data!$AI$6)+((F511/1000)*Data!$AI$7)</f>
        <v>4.9764720359999997</v>
      </c>
      <c r="I511" s="461">
        <f>(D511*Data!$AJ$5)+((E511/1000)*Data!$AJ$6)+((F511/1000)*Data!$AJ$7)</f>
        <v>4.9762742699999993</v>
      </c>
      <c r="J511" s="458" t="s">
        <v>505</v>
      </c>
      <c r="K511" s="464" t="s">
        <v>503</v>
      </c>
    </row>
    <row r="512" spans="2:11" ht="15.75">
      <c r="B512" s="458" t="s">
        <v>543</v>
      </c>
      <c r="C512" s="459"/>
      <c r="D512" s="458">
        <v>2.3677999999999999</v>
      </c>
      <c r="E512" s="458">
        <v>9.0000000000000006E-5</v>
      </c>
      <c r="F512" s="458">
        <v>1.179E-2</v>
      </c>
      <c r="G512" s="459"/>
      <c r="H512" s="460">
        <f>(D512*Data!$AI$5)+((E512/1000)*Data!$AI$6)+((F512/1000)*Data!$AI$7)</f>
        <v>2.3710211809999997</v>
      </c>
      <c r="I512" s="461">
        <f>(D512*Data!$AJ$5)+((E512/1000)*Data!$AJ$6)+((F512/1000)*Data!$AJ$7)</f>
        <v>2.3709268699999999</v>
      </c>
      <c r="J512" s="458" t="s">
        <v>505</v>
      </c>
      <c r="K512" s="464" t="s">
        <v>503</v>
      </c>
    </row>
    <row r="513" spans="2:20" ht="15.75">
      <c r="B513" s="458" t="s">
        <v>544</v>
      </c>
      <c r="C513" s="459"/>
      <c r="D513" s="458">
        <v>1.12609</v>
      </c>
      <c r="E513" s="458">
        <v>4.0000000000000003E-5</v>
      </c>
      <c r="F513" s="458">
        <v>5.6100000000000004E-3</v>
      </c>
      <c r="G513" s="459"/>
      <c r="H513" s="460">
        <f>(D513*Data!$AI$5)+((E513/1000)*Data!$AI$6)+((F513/1000)*Data!$AI$7)</f>
        <v>1.1276226460000001</v>
      </c>
      <c r="I513" s="461">
        <f>(D513*Data!$AJ$5)+((E513/1000)*Data!$AJ$6)+((F513/1000)*Data!$AJ$7)</f>
        <v>1.12757777</v>
      </c>
      <c r="J513" s="458" t="s">
        <v>505</v>
      </c>
      <c r="K513" s="464" t="s">
        <v>503</v>
      </c>
    </row>
    <row r="514" spans="2:20" ht="15.75">
      <c r="B514" s="458" t="s">
        <v>545</v>
      </c>
      <c r="C514" s="459"/>
      <c r="D514" s="458">
        <v>1.12609</v>
      </c>
      <c r="E514" s="458">
        <v>4.0000000000000003E-5</v>
      </c>
      <c r="F514" s="458">
        <v>5.6100000000000004E-3</v>
      </c>
      <c r="G514" s="459"/>
      <c r="H514" s="462">
        <f>(D514*Data!$AI$5)+((E514/1000)*Data!$AI$6)+((F514/1000)*Data!$AI$7)</f>
        <v>1.1276226460000001</v>
      </c>
      <c r="I514" s="463">
        <f>(D514*Data!$AJ$5)+((E514/1000)*Data!$AJ$6)+((F514/1000)*Data!$AJ$7)</f>
        <v>1.12757777</v>
      </c>
      <c r="J514" s="458" t="s">
        <v>505</v>
      </c>
      <c r="K514" s="464" t="s">
        <v>503</v>
      </c>
    </row>
    <row r="524" spans="2:20" s="435" customFormat="1" ht="23.25">
      <c r="B524" s="435" t="s">
        <v>546</v>
      </c>
    </row>
    <row r="527" spans="2:20" hidden="1">
      <c r="B527" t="s">
        <v>547</v>
      </c>
      <c r="C527" t="s">
        <v>548</v>
      </c>
      <c r="D527" t="s">
        <v>549</v>
      </c>
      <c r="M527">
        <v>12</v>
      </c>
      <c r="N527">
        <v>13</v>
      </c>
      <c r="O527">
        <v>14</v>
      </c>
      <c r="P527">
        <v>15</v>
      </c>
      <c r="R527">
        <v>17</v>
      </c>
      <c r="S527">
        <v>18</v>
      </c>
      <c r="T527">
        <v>19</v>
      </c>
    </row>
    <row r="528" spans="2:20" hidden="1">
      <c r="D528" t="s">
        <v>550</v>
      </c>
      <c r="R528" t="s">
        <v>551</v>
      </c>
      <c r="S528" t="s">
        <v>552</v>
      </c>
    </row>
    <row r="529" spans="2:20" hidden="1">
      <c r="D529" t="s">
        <v>553</v>
      </c>
      <c r="E529" t="s">
        <v>554</v>
      </c>
      <c r="F529" t="s">
        <v>555</v>
      </c>
      <c r="G529" t="s">
        <v>556</v>
      </c>
      <c r="H529" t="s">
        <v>557</v>
      </c>
      <c r="I529" t="s">
        <v>558</v>
      </c>
      <c r="J529" t="s">
        <v>559</v>
      </c>
      <c r="N529" t="s">
        <v>560</v>
      </c>
      <c r="O529" t="s">
        <v>561</v>
      </c>
      <c r="P529" t="s">
        <v>562</v>
      </c>
      <c r="R529" t="s">
        <v>563</v>
      </c>
      <c r="S529" t="s">
        <v>563</v>
      </c>
    </row>
    <row r="530" spans="2:20" hidden="1">
      <c r="B530" t="s">
        <v>67</v>
      </c>
      <c r="C530" t="s">
        <v>564</v>
      </c>
      <c r="D530">
        <v>1039.635</v>
      </c>
      <c r="E530">
        <v>8.2000000000000003E-2</v>
      </c>
      <c r="F530">
        <v>1.0999999999999999E-2</v>
      </c>
      <c r="G530">
        <v>1044.989</v>
      </c>
      <c r="H530">
        <v>5.47</v>
      </c>
      <c r="I530">
        <v>5.4189999999999996</v>
      </c>
      <c r="J530">
        <v>1.1000000000000001</v>
      </c>
      <c r="M530" t="s">
        <v>101</v>
      </c>
      <c r="N530">
        <v>0.47157050358495006</v>
      </c>
      <c r="O530">
        <v>3.7194574340000008E-5</v>
      </c>
      <c r="P530">
        <v>4.9895160700000003E-6</v>
      </c>
      <c r="R530">
        <v>0.47398724373231005</v>
      </c>
      <c r="S530">
        <v>0.47393417342502009</v>
      </c>
      <c r="T530" s="240" t="s">
        <v>565</v>
      </c>
    </row>
    <row r="531" spans="2:20" hidden="1">
      <c r="B531" t="s">
        <v>566</v>
      </c>
      <c r="C531" t="s">
        <v>567</v>
      </c>
      <c r="D531">
        <v>525.08299999999997</v>
      </c>
      <c r="E531">
        <v>2.4E-2</v>
      </c>
      <c r="F531">
        <v>4.0000000000000001E-3</v>
      </c>
      <c r="G531">
        <v>526.96299999999997</v>
      </c>
      <c r="H531">
        <v>7.7119999999999997</v>
      </c>
      <c r="I531">
        <v>7.8440000000000003</v>
      </c>
      <c r="J531">
        <v>0.67700000000000005</v>
      </c>
      <c r="M531" t="s">
        <v>101</v>
      </c>
      <c r="N531">
        <v>0.23817364241671002</v>
      </c>
      <c r="O531">
        <v>1.0886216880000001E-5</v>
      </c>
      <c r="P531">
        <v>1.8143694800000002E-6</v>
      </c>
      <c r="R531">
        <v>0.23898647994375</v>
      </c>
      <c r="S531">
        <v>0.23895926440155002</v>
      </c>
      <c r="T531" s="240" t="s">
        <v>565</v>
      </c>
    </row>
    <row r="532" spans="2:20" hidden="1">
      <c r="B532" t="s">
        <v>568</v>
      </c>
      <c r="C532" t="s">
        <v>569</v>
      </c>
      <c r="D532">
        <v>1022.355</v>
      </c>
      <c r="E532">
        <v>7.6999999999999999E-2</v>
      </c>
      <c r="F532">
        <v>1.0999999999999999E-2</v>
      </c>
      <c r="G532">
        <v>1027.548</v>
      </c>
      <c r="H532">
        <v>0.73</v>
      </c>
      <c r="I532">
        <v>0.71899999999999997</v>
      </c>
      <c r="J532">
        <v>0.26300000000000001</v>
      </c>
      <c r="M532" t="s">
        <v>101</v>
      </c>
      <c r="N532">
        <v>0.46373242743135007</v>
      </c>
      <c r="O532">
        <v>3.492661249E-5</v>
      </c>
      <c r="P532">
        <v>4.9895160700000003E-6</v>
      </c>
      <c r="R532">
        <v>0.46609246853246006</v>
      </c>
      <c r="S532">
        <v>0.46603259433962008</v>
      </c>
      <c r="T532" s="240" t="s">
        <v>565</v>
      </c>
    </row>
    <row r="533" spans="2:20" hidden="1">
      <c r="B533" t="s">
        <v>570</v>
      </c>
      <c r="C533" t="s">
        <v>571</v>
      </c>
      <c r="D533">
        <v>496.536</v>
      </c>
      <c r="E533">
        <v>3.4000000000000002E-2</v>
      </c>
      <c r="F533">
        <v>4.0000000000000001E-3</v>
      </c>
      <c r="G533">
        <v>498.68599999999998</v>
      </c>
      <c r="H533">
        <v>0.46300000000000002</v>
      </c>
      <c r="I533">
        <v>0.41399999999999998</v>
      </c>
      <c r="J533">
        <v>4.7E-2</v>
      </c>
      <c r="M533" t="s">
        <v>101</v>
      </c>
      <c r="N533">
        <v>0.22522494103032001</v>
      </c>
      <c r="O533">
        <v>1.5422140580000002E-5</v>
      </c>
      <c r="P533">
        <v>1.8143694800000002E-6</v>
      </c>
      <c r="R533">
        <v>0.22615117664986001</v>
      </c>
      <c r="S533">
        <v>0.22613756887876002</v>
      </c>
      <c r="T533" s="240" t="s">
        <v>565</v>
      </c>
    </row>
    <row r="534" spans="2:20" hidden="1">
      <c r="B534" t="s">
        <v>572</v>
      </c>
      <c r="C534" t="s">
        <v>573</v>
      </c>
      <c r="D534">
        <v>931.67200000000003</v>
      </c>
      <c r="E534">
        <v>6.6000000000000003E-2</v>
      </c>
      <c r="F534">
        <v>8.9999999999999993E-3</v>
      </c>
      <c r="G534">
        <v>936.08199999999999</v>
      </c>
      <c r="H534">
        <v>0.54500000000000004</v>
      </c>
      <c r="I534">
        <v>0.55400000000000005</v>
      </c>
      <c r="J534">
        <v>0.82899999999999996</v>
      </c>
      <c r="M534" t="s">
        <v>101</v>
      </c>
      <c r="N534">
        <v>0.42259931054264005</v>
      </c>
      <c r="O534">
        <v>2.9937096420000004E-5</v>
      </c>
      <c r="P534">
        <v>4.0823313299999998E-6</v>
      </c>
      <c r="R534">
        <v>0.42456427268948005</v>
      </c>
      <c r="S534">
        <v>0.42451936704485005</v>
      </c>
      <c r="T534" s="240" t="s">
        <v>565</v>
      </c>
    </row>
    <row r="535" spans="2:20" hidden="1">
      <c r="B535" t="s">
        <v>574</v>
      </c>
      <c r="C535" t="s">
        <v>575</v>
      </c>
      <c r="D535">
        <v>931.84199999999998</v>
      </c>
      <c r="E535">
        <v>6.6000000000000003E-2</v>
      </c>
      <c r="F535">
        <v>8.9999999999999993E-3</v>
      </c>
      <c r="G535">
        <v>936.14499999999998</v>
      </c>
      <c r="H535">
        <v>0.35599999999999998</v>
      </c>
      <c r="I535">
        <v>0.36499999999999999</v>
      </c>
      <c r="J535">
        <v>0.27800000000000002</v>
      </c>
      <c r="M535" t="s">
        <v>101</v>
      </c>
      <c r="N535">
        <v>0.42267642124554006</v>
      </c>
      <c r="O535">
        <v>2.9937096420000004E-5</v>
      </c>
      <c r="P535">
        <v>4.0823313299999998E-6</v>
      </c>
      <c r="R535">
        <v>0.42464138339238006</v>
      </c>
      <c r="S535">
        <v>0.42459647774775006</v>
      </c>
      <c r="T535" s="240" t="s">
        <v>565</v>
      </c>
    </row>
    <row r="536" spans="2:20" hidden="1">
      <c r="B536" t="s">
        <v>576</v>
      </c>
      <c r="C536" t="s">
        <v>577</v>
      </c>
      <c r="D536">
        <v>1110.6890000000001</v>
      </c>
      <c r="E536">
        <v>0.11799999999999999</v>
      </c>
      <c r="F536">
        <v>1.7999999999999999E-2</v>
      </c>
      <c r="G536">
        <v>1119.077</v>
      </c>
      <c r="H536">
        <v>7.6379999999999999</v>
      </c>
      <c r="I536">
        <v>7.5819999999999999</v>
      </c>
      <c r="J536">
        <v>3.9689999999999999</v>
      </c>
      <c r="M536" t="s">
        <v>101</v>
      </c>
      <c r="N536">
        <v>0.50380005584293008</v>
      </c>
      <c r="O536">
        <v>5.3523899660000004E-5</v>
      </c>
      <c r="P536">
        <v>8.1646626599999996E-6</v>
      </c>
      <c r="R536">
        <v>0.50757122280711009</v>
      </c>
      <c r="S536">
        <v>0.50746236063831007</v>
      </c>
      <c r="T536" s="240" t="s">
        <v>565</v>
      </c>
    </row>
    <row r="537" spans="2:20" hidden="1">
      <c r="B537" t="s">
        <v>578</v>
      </c>
      <c r="C537" t="s">
        <v>579</v>
      </c>
      <c r="D537">
        <v>1669.943</v>
      </c>
      <c r="E537">
        <v>0.18</v>
      </c>
      <c r="F537">
        <v>2.7E-2</v>
      </c>
      <c r="G537">
        <v>1682.596</v>
      </c>
      <c r="H537">
        <v>3.5150000000000001</v>
      </c>
      <c r="I537">
        <v>3.7730000000000001</v>
      </c>
      <c r="J537">
        <v>7.9969999999999999</v>
      </c>
      <c r="M537" t="s">
        <v>101</v>
      </c>
      <c r="N537">
        <v>0.75747340313491007</v>
      </c>
      <c r="O537">
        <v>8.1646626600000006E-5</v>
      </c>
      <c r="P537">
        <v>1.224699399E-5</v>
      </c>
      <c r="R537">
        <v>0.76316417300893014</v>
      </c>
      <c r="S537">
        <v>0.76300496208706015</v>
      </c>
      <c r="T537" s="240" t="s">
        <v>565</v>
      </c>
    </row>
    <row r="538" spans="2:20" hidden="1">
      <c r="B538" t="s">
        <v>580</v>
      </c>
      <c r="C538" t="s">
        <v>581</v>
      </c>
      <c r="D538">
        <v>1678.0160000000001</v>
      </c>
      <c r="E538">
        <v>0.16900000000000001</v>
      </c>
      <c r="F538">
        <v>2.5000000000000001E-2</v>
      </c>
      <c r="G538">
        <v>1689.6510000000001</v>
      </c>
      <c r="H538">
        <v>0.88</v>
      </c>
      <c r="I538">
        <v>0.88700000000000001</v>
      </c>
      <c r="J538">
        <v>0.89100000000000001</v>
      </c>
      <c r="M538" t="s">
        <v>101</v>
      </c>
      <c r="N538">
        <v>0.76113525433792006</v>
      </c>
      <c r="O538">
        <v>7.665711053000001E-5</v>
      </c>
      <c r="P538">
        <v>1.1339809250000001E-5</v>
      </c>
      <c r="R538">
        <v>0.76643094525766997</v>
      </c>
      <c r="S538">
        <v>0.76628670288401013</v>
      </c>
      <c r="T538" s="240" t="s">
        <v>565</v>
      </c>
    </row>
    <row r="539" spans="2:20" hidden="1">
      <c r="B539" t="s">
        <v>582</v>
      </c>
      <c r="C539" t="s">
        <v>583</v>
      </c>
      <c r="D539">
        <v>1239.848</v>
      </c>
      <c r="E539">
        <v>0.13800000000000001</v>
      </c>
      <c r="F539">
        <v>0.02</v>
      </c>
      <c r="G539">
        <v>1249.201</v>
      </c>
      <c r="H539">
        <v>0.97699999999999998</v>
      </c>
      <c r="I539">
        <v>1.0089999999999999</v>
      </c>
      <c r="J539">
        <v>1.351</v>
      </c>
      <c r="M539" t="s">
        <v>101</v>
      </c>
      <c r="N539">
        <v>0.56238559275976008</v>
      </c>
      <c r="O539">
        <v>6.2595747060000009E-5</v>
      </c>
      <c r="P539">
        <v>9.0718474000000018E-6</v>
      </c>
      <c r="R539">
        <v>0.56665389696146007</v>
      </c>
      <c r="S539">
        <v>0.56654231323844007</v>
      </c>
      <c r="T539" s="240" t="s">
        <v>565</v>
      </c>
    </row>
    <row r="540" spans="2:20" hidden="1">
      <c r="B540" t="s">
        <v>584</v>
      </c>
      <c r="C540" t="s">
        <v>585</v>
      </c>
      <c r="D540">
        <v>522.31200000000001</v>
      </c>
      <c r="E540">
        <v>8.2000000000000003E-2</v>
      </c>
      <c r="F540">
        <v>1.0999999999999999E-2</v>
      </c>
      <c r="G540">
        <v>527.56399999999996</v>
      </c>
      <c r="H540">
        <v>0.38700000000000001</v>
      </c>
      <c r="I540">
        <v>0.35</v>
      </c>
      <c r="J540">
        <v>0.13600000000000001</v>
      </c>
      <c r="M540" t="s">
        <v>101</v>
      </c>
      <c r="N540">
        <v>0.23691673795944002</v>
      </c>
      <c r="O540">
        <v>3.7194574340000008E-5</v>
      </c>
      <c r="P540">
        <v>4.9895160700000003E-6</v>
      </c>
      <c r="R540">
        <v>0.23933347810680003</v>
      </c>
      <c r="S540">
        <v>0.23928040779951004</v>
      </c>
      <c r="T540" s="240" t="s">
        <v>565</v>
      </c>
    </row>
    <row r="541" spans="2:20" hidden="1">
      <c r="B541" t="s">
        <v>586</v>
      </c>
      <c r="C541" t="s">
        <v>587</v>
      </c>
      <c r="D541">
        <v>639.03700000000003</v>
      </c>
      <c r="E541">
        <v>6.4000000000000001E-2</v>
      </c>
      <c r="F541">
        <v>8.9999999999999993E-3</v>
      </c>
      <c r="G541">
        <v>643.36300000000006</v>
      </c>
      <c r="H541">
        <v>0.57999999999999996</v>
      </c>
      <c r="I541">
        <v>0.57699999999999996</v>
      </c>
      <c r="J541">
        <v>0.377</v>
      </c>
      <c r="M541" t="s">
        <v>101</v>
      </c>
      <c r="N541">
        <v>0.28986230734769003</v>
      </c>
      <c r="O541">
        <v>2.9029911680000003E-5</v>
      </c>
      <c r="P541">
        <v>4.0823313299999998E-6</v>
      </c>
      <c r="R541">
        <v>0.29180458987603003</v>
      </c>
      <c r="S541">
        <v>0.29175696267717999</v>
      </c>
      <c r="T541" s="240" t="s">
        <v>565</v>
      </c>
    </row>
    <row r="542" spans="2:20" hidden="1">
      <c r="B542" t="s">
        <v>588</v>
      </c>
      <c r="C542" t="s">
        <v>589</v>
      </c>
      <c r="D542">
        <v>596.41399999999999</v>
      </c>
      <c r="E542">
        <v>2.1999999999999999E-2</v>
      </c>
      <c r="F542">
        <v>3.0000000000000001E-3</v>
      </c>
      <c r="G542">
        <v>597.76199999999994</v>
      </c>
      <c r="H542">
        <v>0.251</v>
      </c>
      <c r="I542">
        <v>0.249</v>
      </c>
      <c r="J542">
        <v>2.5999999999999999E-2</v>
      </c>
      <c r="M542" t="s">
        <v>101</v>
      </c>
      <c r="N542">
        <v>0.27052883976118003</v>
      </c>
      <c r="O542">
        <v>9.9790321400000006E-6</v>
      </c>
      <c r="P542">
        <v>1.3607771100000001E-6</v>
      </c>
      <c r="R542">
        <v>0.27118382714346001</v>
      </c>
      <c r="S542">
        <v>0.27116885859525003</v>
      </c>
      <c r="T542" s="240" t="s">
        <v>565</v>
      </c>
    </row>
    <row r="543" spans="2:20" hidden="1">
      <c r="B543" t="s">
        <v>590</v>
      </c>
      <c r="C543" t="s">
        <v>591</v>
      </c>
      <c r="D543">
        <v>1184.241</v>
      </c>
      <c r="E543">
        <v>0.13900000000000001</v>
      </c>
      <c r="F543">
        <v>1.7999999999999999E-2</v>
      </c>
      <c r="G543">
        <v>1193.0909999999999</v>
      </c>
      <c r="H543">
        <v>0.86</v>
      </c>
      <c r="I543">
        <v>0.82799999999999996</v>
      </c>
      <c r="J543">
        <v>0.23400000000000001</v>
      </c>
      <c r="M543" t="s">
        <v>101</v>
      </c>
      <c r="N543">
        <v>0.53716268184117</v>
      </c>
      <c r="O543">
        <v>6.3049339430000016E-5</v>
      </c>
      <c r="P543">
        <v>8.1646626599999996E-6</v>
      </c>
      <c r="R543">
        <v>0.54117198479959994</v>
      </c>
      <c r="S543">
        <v>0.54109169895011</v>
      </c>
      <c r="T543" s="240" t="s">
        <v>565</v>
      </c>
    </row>
    <row r="544" spans="2:20" hidden="1">
      <c r="B544" t="s">
        <v>592</v>
      </c>
      <c r="C544" t="s">
        <v>593</v>
      </c>
      <c r="D544">
        <v>253.11199999999999</v>
      </c>
      <c r="E544">
        <v>1.7999999999999999E-2</v>
      </c>
      <c r="F544">
        <v>2E-3</v>
      </c>
      <c r="G544">
        <v>253.88900000000001</v>
      </c>
      <c r="H544">
        <v>0.13600000000000001</v>
      </c>
      <c r="I544">
        <v>0.13600000000000001</v>
      </c>
      <c r="J544">
        <v>9.1999999999999998E-2</v>
      </c>
      <c r="M544" t="s">
        <v>101</v>
      </c>
      <c r="N544">
        <v>0.11480967195544001</v>
      </c>
      <c r="O544">
        <v>8.1646626599999996E-6</v>
      </c>
      <c r="P544">
        <v>9.071847400000001E-7</v>
      </c>
      <c r="R544">
        <v>0.11528412957446001</v>
      </c>
      <c r="S544">
        <v>0.11527868646602001</v>
      </c>
      <c r="T544" s="240" t="s">
        <v>565</v>
      </c>
    </row>
    <row r="545" spans="2:20" hidden="1">
      <c r="B545" t="s">
        <v>594</v>
      </c>
      <c r="C545" t="s">
        <v>595</v>
      </c>
      <c r="D545">
        <v>715.96600000000001</v>
      </c>
      <c r="E545">
        <v>6.0999999999999999E-2</v>
      </c>
      <c r="F545">
        <v>8.0000000000000002E-3</v>
      </c>
      <c r="G545">
        <v>719.97900000000004</v>
      </c>
      <c r="H545">
        <v>0.33300000000000002</v>
      </c>
      <c r="I545">
        <v>0.28799999999999998</v>
      </c>
      <c r="J545">
        <v>0.48</v>
      </c>
      <c r="M545" t="s">
        <v>101</v>
      </c>
      <c r="N545">
        <v>0.32475671477942003</v>
      </c>
      <c r="O545">
        <v>2.7669134570000002E-5</v>
      </c>
      <c r="P545">
        <v>3.6287389600000004E-6</v>
      </c>
      <c r="R545">
        <v>0.32652980735375003</v>
      </c>
      <c r="S545">
        <v>0.32649306637178005</v>
      </c>
      <c r="T545" s="240" t="s">
        <v>565</v>
      </c>
    </row>
    <row r="546" spans="2:20" hidden="1">
      <c r="B546" t="s">
        <v>596</v>
      </c>
      <c r="C546" t="s">
        <v>597</v>
      </c>
      <c r="D546">
        <v>1312.56</v>
      </c>
      <c r="E546">
        <v>0.129</v>
      </c>
      <c r="F546">
        <v>1.7999999999999999E-2</v>
      </c>
      <c r="G546">
        <v>1321.1849999999999</v>
      </c>
      <c r="H546">
        <v>0.79800000000000004</v>
      </c>
      <c r="I546">
        <v>0.79200000000000004</v>
      </c>
      <c r="J546">
        <v>1.296</v>
      </c>
      <c r="M546" t="s">
        <v>101</v>
      </c>
      <c r="N546">
        <v>0.59536720116719999</v>
      </c>
      <c r="O546">
        <v>5.8513415730000006E-5</v>
      </c>
      <c r="P546">
        <v>8.1646626599999996E-6</v>
      </c>
      <c r="R546">
        <v>0.59926310603312993</v>
      </c>
      <c r="S546">
        <v>0.59916921241253995</v>
      </c>
      <c r="T546" s="240" t="s">
        <v>565</v>
      </c>
    </row>
    <row r="547" spans="2:20" hidden="1">
      <c r="B547" t="s">
        <v>598</v>
      </c>
      <c r="C547" t="s">
        <v>599</v>
      </c>
      <c r="D547">
        <v>1166.096</v>
      </c>
      <c r="E547">
        <v>0.11700000000000001</v>
      </c>
      <c r="F547">
        <v>1.7000000000000001E-2</v>
      </c>
      <c r="G547">
        <v>1174.029</v>
      </c>
      <c r="H547">
        <v>0.82499999999999996</v>
      </c>
      <c r="I547">
        <v>0.65200000000000002</v>
      </c>
      <c r="J547">
        <v>0.92500000000000004</v>
      </c>
      <c r="M547" t="s">
        <v>101</v>
      </c>
      <c r="N547">
        <v>0.52893224828752006</v>
      </c>
      <c r="O547">
        <v>5.307030729000001E-5</v>
      </c>
      <c r="P547">
        <v>7.711070290000001E-6</v>
      </c>
      <c r="R547">
        <v>0.53255690491619001</v>
      </c>
      <c r="S547">
        <v>0.53246165051849004</v>
      </c>
      <c r="T547" s="240" t="s">
        <v>565</v>
      </c>
    </row>
    <row r="548" spans="2:20" hidden="1">
      <c r="B548" t="s">
        <v>600</v>
      </c>
      <c r="C548" t="s">
        <v>601</v>
      </c>
      <c r="D548">
        <v>1273.615</v>
      </c>
      <c r="E548">
        <v>0.123</v>
      </c>
      <c r="F548">
        <v>1.7999999999999999E-2</v>
      </c>
      <c r="G548">
        <v>1281.944</v>
      </c>
      <c r="H548">
        <v>0.67300000000000004</v>
      </c>
      <c r="I548">
        <v>0.68899999999999995</v>
      </c>
      <c r="J548">
        <v>0.41799999999999998</v>
      </c>
      <c r="M548" t="s">
        <v>101</v>
      </c>
      <c r="N548">
        <v>0.57770204631755007</v>
      </c>
      <c r="O548">
        <v>5.5791861510000005E-5</v>
      </c>
      <c r="P548">
        <v>8.1646626599999996E-6</v>
      </c>
      <c r="R548">
        <v>0.58152991232798001</v>
      </c>
      <c r="S548">
        <v>0.58142785404473007</v>
      </c>
      <c r="T548" s="240" t="s">
        <v>565</v>
      </c>
    </row>
    <row r="549" spans="2:20" hidden="1">
      <c r="B549" t="s">
        <v>602</v>
      </c>
      <c r="C549" t="s">
        <v>603</v>
      </c>
      <c r="D549">
        <v>1163.1869999999999</v>
      </c>
      <c r="E549">
        <v>0.124</v>
      </c>
      <c r="F549">
        <v>1.7999999999999999E-2</v>
      </c>
      <c r="G549">
        <v>1171.606</v>
      </c>
      <c r="H549">
        <v>0.64200000000000002</v>
      </c>
      <c r="I549">
        <v>0.72</v>
      </c>
      <c r="J549">
        <v>0.33300000000000002</v>
      </c>
      <c r="M549" t="s">
        <v>101</v>
      </c>
      <c r="N549">
        <v>0.52761274808319003</v>
      </c>
      <c r="O549">
        <v>5.6245453880000005E-5</v>
      </c>
      <c r="P549">
        <v>8.1646626599999996E-6</v>
      </c>
      <c r="R549">
        <v>0.53145195390287003</v>
      </c>
      <c r="S549">
        <v>0.53135125639672998</v>
      </c>
      <c r="T549" s="240" t="s">
        <v>565</v>
      </c>
    </row>
    <row r="550" spans="2:20" hidden="1">
      <c r="B550" t="s">
        <v>604</v>
      </c>
      <c r="C550" t="s">
        <v>605</v>
      </c>
      <c r="D550">
        <v>1166.5820000000001</v>
      </c>
      <c r="E550">
        <v>9.0999999999999998E-2</v>
      </c>
      <c r="F550">
        <v>1.2999999999999999E-2</v>
      </c>
      <c r="G550">
        <v>1172.7550000000001</v>
      </c>
      <c r="H550">
        <v>0.83199999999999996</v>
      </c>
      <c r="I550">
        <v>0.88200000000000001</v>
      </c>
      <c r="J550">
        <v>1.242</v>
      </c>
      <c r="M550" t="s">
        <v>101</v>
      </c>
      <c r="N550">
        <v>0.52915269417934008</v>
      </c>
      <c r="O550">
        <v>4.1276905670000003E-5</v>
      </c>
      <c r="P550">
        <v>5.89670081E-6</v>
      </c>
      <c r="R550">
        <v>0.53194183366247005</v>
      </c>
      <c r="S550">
        <v>0.53187107325275007</v>
      </c>
      <c r="T550" s="240" t="s">
        <v>565</v>
      </c>
    </row>
    <row r="551" spans="2:20" hidden="1">
      <c r="B551" t="s">
        <v>606</v>
      </c>
      <c r="C551" t="s">
        <v>607</v>
      </c>
      <c r="D551">
        <v>854.64499999999998</v>
      </c>
      <c r="E551">
        <v>5.5E-2</v>
      </c>
      <c r="F551">
        <v>8.0000000000000002E-3</v>
      </c>
      <c r="G551">
        <v>858.36900000000003</v>
      </c>
      <c r="H551">
        <v>0.61399999999999999</v>
      </c>
      <c r="I551">
        <v>0.67100000000000004</v>
      </c>
      <c r="J551">
        <v>0.96</v>
      </c>
      <c r="M551" t="s">
        <v>101</v>
      </c>
      <c r="N551">
        <v>0.38766045105865005</v>
      </c>
      <c r="O551">
        <v>2.4947580350000004E-5</v>
      </c>
      <c r="P551">
        <v>3.6287389600000004E-6</v>
      </c>
      <c r="R551">
        <v>0.38936550477748005</v>
      </c>
      <c r="S551">
        <v>0.38932059913285005</v>
      </c>
      <c r="T551" s="240" t="s">
        <v>565</v>
      </c>
    </row>
    <row r="552" spans="2:20" hidden="1">
      <c r="B552" t="s">
        <v>608</v>
      </c>
      <c r="C552" t="s">
        <v>609</v>
      </c>
      <c r="D552">
        <v>1664.15</v>
      </c>
      <c r="E552">
        <v>0.185</v>
      </c>
      <c r="F552">
        <v>2.7E-2</v>
      </c>
      <c r="G552">
        <v>1676.7819999999999</v>
      </c>
      <c r="H552">
        <v>1.06</v>
      </c>
      <c r="I552">
        <v>0.79100000000000004</v>
      </c>
      <c r="J552">
        <v>2.488</v>
      </c>
      <c r="M552" t="s">
        <v>101</v>
      </c>
      <c r="N552">
        <v>0.75484574253550007</v>
      </c>
      <c r="O552">
        <v>8.3914588450000001E-5</v>
      </c>
      <c r="P552">
        <v>1.224699399E-5</v>
      </c>
      <c r="R552">
        <v>0.76059321145577008</v>
      </c>
      <c r="S552">
        <v>0.76044080441945017</v>
      </c>
      <c r="T552" s="240" t="s">
        <v>565</v>
      </c>
    </row>
    <row r="553" spans="2:20" hidden="1">
      <c r="B553" t="s">
        <v>610</v>
      </c>
      <c r="C553" t="s">
        <v>611</v>
      </c>
      <c r="D553">
        <v>1027.9280000000001</v>
      </c>
      <c r="E553">
        <v>8.1000000000000003E-2</v>
      </c>
      <c r="F553">
        <v>1.2E-2</v>
      </c>
      <c r="G553">
        <v>1033.471</v>
      </c>
      <c r="H553">
        <v>0.496</v>
      </c>
      <c r="I553">
        <v>0.433</v>
      </c>
      <c r="J553">
        <v>0.29699999999999999</v>
      </c>
      <c r="M553" t="s">
        <v>101</v>
      </c>
      <c r="N553">
        <v>0.46626029770936012</v>
      </c>
      <c r="O553">
        <v>3.6740981970000007E-5</v>
      </c>
      <c r="P553">
        <v>5.4431084400000006E-6</v>
      </c>
      <c r="R553">
        <v>0.4688008685737301</v>
      </c>
      <c r="S553">
        <v>0.46873146894112011</v>
      </c>
      <c r="T553" s="240" t="s">
        <v>565</v>
      </c>
    </row>
    <row r="554" spans="2:20" hidden="1">
      <c r="B554" t="s">
        <v>612</v>
      </c>
      <c r="C554" t="s">
        <v>613</v>
      </c>
      <c r="D554">
        <v>1031.537</v>
      </c>
      <c r="E554">
        <v>9.7000000000000003E-2</v>
      </c>
      <c r="F554">
        <v>1.4E-2</v>
      </c>
      <c r="G554">
        <v>1038.127</v>
      </c>
      <c r="H554">
        <v>0.55100000000000005</v>
      </c>
      <c r="I554">
        <v>0.504</v>
      </c>
      <c r="J554">
        <v>0.61899999999999999</v>
      </c>
      <c r="M554" t="s">
        <v>101</v>
      </c>
      <c r="N554">
        <v>0.46789731257269007</v>
      </c>
      <c r="O554">
        <v>4.3998459890000005E-5</v>
      </c>
      <c r="P554">
        <v>6.3502931800000011E-6</v>
      </c>
      <c r="R554">
        <v>0.4708896614375801</v>
      </c>
      <c r="S554">
        <v>0.47081209714231009</v>
      </c>
      <c r="T554" s="240" t="s">
        <v>565</v>
      </c>
    </row>
    <row r="555" spans="2:20" hidden="1">
      <c r="B555" t="s">
        <v>614</v>
      </c>
      <c r="C555" t="s">
        <v>615</v>
      </c>
      <c r="D555">
        <v>743.32799999999997</v>
      </c>
      <c r="E555">
        <v>6.7000000000000004E-2</v>
      </c>
      <c r="F555">
        <v>8.9999999999999993E-3</v>
      </c>
      <c r="G555">
        <v>747.51300000000003</v>
      </c>
      <c r="H555">
        <v>0.437</v>
      </c>
      <c r="I555">
        <v>0.42599999999999999</v>
      </c>
      <c r="J555">
        <v>0.26300000000000001</v>
      </c>
      <c r="M555" t="s">
        <v>101</v>
      </c>
      <c r="N555">
        <v>0.33716790920736001</v>
      </c>
      <c r="O555">
        <v>3.0390688790000004E-5</v>
      </c>
      <c r="P555">
        <v>4.0823313299999998E-6</v>
      </c>
      <c r="R555">
        <v>0.33914421116345</v>
      </c>
      <c r="S555">
        <v>0.33910066629593</v>
      </c>
      <c r="T555" s="240" t="s">
        <v>565</v>
      </c>
    </row>
    <row r="556" spans="2:20" hidden="1">
      <c r="B556" t="s">
        <v>616</v>
      </c>
      <c r="D556">
        <v>947.18200000000002</v>
      </c>
      <c r="E556">
        <v>8.5000000000000006E-2</v>
      </c>
      <c r="F556">
        <v>1.2E-2</v>
      </c>
      <c r="G556">
        <v>952.87699999999995</v>
      </c>
      <c r="H556">
        <v>0.61899999999999999</v>
      </c>
      <c r="I556">
        <v>0.57999999999999996</v>
      </c>
      <c r="J556">
        <v>0.67500000000000004</v>
      </c>
      <c r="M556" t="s">
        <v>101</v>
      </c>
      <c r="N556">
        <v>0.42963452820134007</v>
      </c>
      <c r="O556">
        <v>3.8555351450000009E-5</v>
      </c>
      <c r="P556">
        <v>5.4431084400000006E-6</v>
      </c>
      <c r="R556">
        <v>0.43222045830271005</v>
      </c>
      <c r="S556">
        <v>0.43215650177854004</v>
      </c>
      <c r="T556" s="240" t="s">
        <v>565</v>
      </c>
    </row>
    <row r="557" spans="2:20" hidden="1">
      <c r="M557" t="s">
        <v>101</v>
      </c>
      <c r="R557">
        <v>0</v>
      </c>
      <c r="S557">
        <v>0</v>
      </c>
      <c r="T557" s="240"/>
    </row>
    <row r="558" spans="2:20" hidden="1">
      <c r="M558" t="s">
        <v>101</v>
      </c>
      <c r="R558">
        <v>0</v>
      </c>
      <c r="S558">
        <v>0</v>
      </c>
      <c r="T558" s="240"/>
    </row>
    <row r="559" spans="2:20" hidden="1">
      <c r="B559" t="s">
        <v>617</v>
      </c>
      <c r="M559" t="s">
        <v>101</v>
      </c>
      <c r="N559">
        <v>0.81</v>
      </c>
      <c r="O559">
        <v>0</v>
      </c>
      <c r="P559">
        <v>0</v>
      </c>
      <c r="R559">
        <v>0.81</v>
      </c>
      <c r="S559">
        <v>0.81</v>
      </c>
      <c r="T559" t="s">
        <v>618</v>
      </c>
    </row>
    <row r="560" spans="2:20" hidden="1">
      <c r="B560" t="s">
        <v>619</v>
      </c>
      <c r="M560" t="s">
        <v>101</v>
      </c>
      <c r="N560">
        <v>1.02</v>
      </c>
      <c r="O560">
        <v>0</v>
      </c>
      <c r="P560">
        <v>0</v>
      </c>
      <c r="R560">
        <v>1.02</v>
      </c>
      <c r="S560">
        <v>1.02</v>
      </c>
      <c r="T560" t="s">
        <v>620</v>
      </c>
    </row>
    <row r="561" spans="2:20" hidden="1">
      <c r="B561" t="s">
        <v>621</v>
      </c>
      <c r="M561" t="s">
        <v>101</v>
      </c>
      <c r="N561">
        <v>0.81</v>
      </c>
      <c r="O561">
        <v>0</v>
      </c>
      <c r="P561">
        <v>0</v>
      </c>
      <c r="R561">
        <v>0.81</v>
      </c>
      <c r="S561">
        <v>0.81</v>
      </c>
      <c r="T561" t="s">
        <v>622</v>
      </c>
    </row>
    <row r="562" spans="2:20" hidden="1">
      <c r="B562" t="s">
        <v>623</v>
      </c>
      <c r="M562" t="s">
        <v>101</v>
      </c>
      <c r="N562">
        <v>0.44</v>
      </c>
      <c r="O562">
        <v>0</v>
      </c>
      <c r="P562">
        <v>0</v>
      </c>
      <c r="R562">
        <v>0.44</v>
      </c>
      <c r="S562">
        <v>0.44</v>
      </c>
      <c r="T562" t="s">
        <v>624</v>
      </c>
    </row>
    <row r="563" spans="2:20" hidden="1">
      <c r="B563" t="s">
        <v>625</v>
      </c>
      <c r="M563" t="s">
        <v>101</v>
      </c>
      <c r="N563">
        <v>0.69</v>
      </c>
      <c r="O563">
        <v>0</v>
      </c>
      <c r="P563">
        <v>0</v>
      </c>
      <c r="R563">
        <v>0.69</v>
      </c>
      <c r="S563">
        <v>0.69</v>
      </c>
      <c r="T563" t="s">
        <v>626</v>
      </c>
    </row>
    <row r="564" spans="2:20" hidden="1">
      <c r="B564" t="s">
        <v>627</v>
      </c>
      <c r="M564" t="s">
        <v>101</v>
      </c>
      <c r="N564">
        <v>0.15</v>
      </c>
      <c r="O564">
        <v>0</v>
      </c>
      <c r="P564">
        <v>0</v>
      </c>
      <c r="R564">
        <v>0.15</v>
      </c>
      <c r="S564">
        <v>0.15</v>
      </c>
      <c r="T564" t="s">
        <v>628</v>
      </c>
    </row>
    <row r="565" spans="2:20" hidden="1">
      <c r="B565" t="s">
        <v>629</v>
      </c>
      <c r="M565" t="s">
        <v>101</v>
      </c>
      <c r="N565">
        <v>0.63</v>
      </c>
      <c r="O565">
        <v>0</v>
      </c>
      <c r="P565">
        <v>0</v>
      </c>
      <c r="R565">
        <v>0.63</v>
      </c>
      <c r="S565">
        <v>0.63</v>
      </c>
      <c r="T565" t="s">
        <v>630</v>
      </c>
    </row>
    <row r="566" spans="2:20" hidden="1">
      <c r="M566" t="s">
        <v>101</v>
      </c>
      <c r="R566">
        <v>0</v>
      </c>
      <c r="S566">
        <v>0</v>
      </c>
      <c r="T566" s="240"/>
    </row>
    <row r="567" spans="2:20" hidden="1">
      <c r="M567" t="s">
        <v>101</v>
      </c>
      <c r="R567">
        <v>0</v>
      </c>
      <c r="S567">
        <v>0</v>
      </c>
      <c r="T567" s="240"/>
    </row>
    <row r="568" spans="2:20" hidden="1">
      <c r="M568" t="s">
        <v>101</v>
      </c>
      <c r="R568">
        <v>0</v>
      </c>
      <c r="S568">
        <v>0</v>
      </c>
      <c r="T568" s="240"/>
    </row>
    <row r="569" spans="2:20" hidden="1">
      <c r="M569" t="s">
        <v>101</v>
      </c>
      <c r="R569">
        <v>0</v>
      </c>
      <c r="S569">
        <v>0</v>
      </c>
      <c r="T569" s="240"/>
    </row>
    <row r="570" spans="2:20" hidden="1">
      <c r="C570" t="s">
        <v>631</v>
      </c>
      <c r="H570" t="s">
        <v>632</v>
      </c>
      <c r="J570">
        <v>2016</v>
      </c>
      <c r="K570" t="s">
        <v>633</v>
      </c>
      <c r="M570" t="s">
        <v>101</v>
      </c>
      <c r="R570">
        <v>0</v>
      </c>
      <c r="S570">
        <v>0</v>
      </c>
      <c r="T570" s="240"/>
    </row>
    <row r="571" spans="2:20" hidden="1">
      <c r="B571" t="s">
        <v>634</v>
      </c>
      <c r="C571" t="s">
        <v>635</v>
      </c>
      <c r="H571">
        <v>140</v>
      </c>
      <c r="J571">
        <v>140</v>
      </c>
      <c r="K571">
        <v>130</v>
      </c>
      <c r="M571" t="s">
        <v>101</v>
      </c>
      <c r="R571">
        <v>0</v>
      </c>
      <c r="S571">
        <v>0</v>
      </c>
      <c r="T571" s="240"/>
    </row>
    <row r="572" spans="2:20" hidden="1">
      <c r="B572" t="s">
        <v>634</v>
      </c>
      <c r="C572" t="s">
        <v>636</v>
      </c>
      <c r="H572">
        <v>0.01</v>
      </c>
      <c r="J572">
        <v>0</v>
      </c>
      <c r="K572">
        <v>0</v>
      </c>
      <c r="M572" t="s">
        <v>101</v>
      </c>
      <c r="R572">
        <v>0</v>
      </c>
      <c r="S572">
        <v>0</v>
      </c>
      <c r="T572" s="240" t="s">
        <v>637</v>
      </c>
    </row>
    <row r="573" spans="2:20" hidden="1">
      <c r="B573" t="s">
        <v>634</v>
      </c>
      <c r="C573" t="s">
        <v>638</v>
      </c>
      <c r="H573">
        <v>3.0000000000000001E-3</v>
      </c>
      <c r="J573">
        <v>0</v>
      </c>
      <c r="K573">
        <v>0</v>
      </c>
      <c r="M573" t="s">
        <v>101</v>
      </c>
      <c r="N573">
        <v>130</v>
      </c>
      <c r="O573">
        <v>0</v>
      </c>
      <c r="P573">
        <v>0</v>
      </c>
      <c r="R573">
        <v>130</v>
      </c>
      <c r="S573">
        <v>130</v>
      </c>
      <c r="T573" s="240" t="s">
        <v>637</v>
      </c>
    </row>
    <row r="574" spans="2:20" hidden="1">
      <c r="B574" t="s">
        <v>634</v>
      </c>
      <c r="C574" t="s">
        <v>639</v>
      </c>
      <c r="H574">
        <v>140</v>
      </c>
      <c r="J574">
        <v>140</v>
      </c>
      <c r="K574">
        <v>130</v>
      </c>
      <c r="M574" t="s">
        <v>101</v>
      </c>
      <c r="N574">
        <v>0.13</v>
      </c>
      <c r="O574">
        <v>0</v>
      </c>
      <c r="P574">
        <v>0</v>
      </c>
      <c r="R574">
        <v>0.13</v>
      </c>
      <c r="S574">
        <v>0.13</v>
      </c>
      <c r="T574" s="240" t="s">
        <v>637</v>
      </c>
    </row>
    <row r="575" spans="2:20" hidden="1">
      <c r="B575" t="s">
        <v>640</v>
      </c>
      <c r="C575" t="s">
        <v>635</v>
      </c>
      <c r="H575">
        <v>37</v>
      </c>
      <c r="J575">
        <v>37</v>
      </c>
      <c r="K575">
        <v>40</v>
      </c>
      <c r="M575" t="s">
        <v>101</v>
      </c>
      <c r="R575">
        <v>0</v>
      </c>
      <c r="S575">
        <v>0</v>
      </c>
      <c r="T575" s="240" t="s">
        <v>637</v>
      </c>
    </row>
    <row r="576" spans="2:20" hidden="1">
      <c r="B576" t="s">
        <v>640</v>
      </c>
      <c r="C576" t="s">
        <v>636</v>
      </c>
      <c r="H576">
        <v>5.9999999999999995E-4</v>
      </c>
      <c r="J576">
        <v>5.9999999999999995E-4</v>
      </c>
      <c r="K576">
        <v>5.9999999999999995E-4</v>
      </c>
      <c r="M576" t="s">
        <v>101</v>
      </c>
      <c r="R576">
        <v>0</v>
      </c>
      <c r="S576">
        <v>0</v>
      </c>
      <c r="T576" s="240" t="s">
        <v>637</v>
      </c>
    </row>
    <row r="577" spans="2:20" hidden="1">
      <c r="B577" t="s">
        <v>640</v>
      </c>
      <c r="C577" t="s">
        <v>638</v>
      </c>
      <c r="H577">
        <v>1E-3</v>
      </c>
      <c r="J577">
        <v>1E-3</v>
      </c>
      <c r="K577">
        <v>1E-3</v>
      </c>
      <c r="M577" t="s">
        <v>101</v>
      </c>
      <c r="N577">
        <v>40</v>
      </c>
      <c r="O577">
        <v>5.9999999999999995E-4</v>
      </c>
      <c r="P577">
        <v>1E-3</v>
      </c>
      <c r="R577">
        <v>40.313000000000002</v>
      </c>
      <c r="S577">
        <v>40.281800000000004</v>
      </c>
      <c r="T577" s="240" t="s">
        <v>637</v>
      </c>
    </row>
    <row r="578" spans="2:20" hidden="1">
      <c r="B578" t="s">
        <v>641</v>
      </c>
      <c r="C578" t="s">
        <v>639</v>
      </c>
      <c r="H578">
        <v>37</v>
      </c>
      <c r="J578">
        <v>37</v>
      </c>
      <c r="K578">
        <v>40</v>
      </c>
      <c r="M578" t="s">
        <v>101</v>
      </c>
      <c r="N578">
        <v>0.04</v>
      </c>
      <c r="O578">
        <v>5.9999999999999997E-7</v>
      </c>
      <c r="P578">
        <v>9.9999999999999995E-7</v>
      </c>
      <c r="R578">
        <v>4.0313000000000002E-2</v>
      </c>
      <c r="S578">
        <v>4.02818E-2</v>
      </c>
      <c r="T578" s="240" t="s">
        <v>637</v>
      </c>
    </row>
    <row r="579" spans="2:20" hidden="1">
      <c r="B579" t="s">
        <v>642</v>
      </c>
      <c r="C579" t="s">
        <v>635</v>
      </c>
      <c r="H579">
        <v>25</v>
      </c>
      <c r="J579">
        <v>7</v>
      </c>
      <c r="K579">
        <v>14</v>
      </c>
      <c r="M579" t="s">
        <v>101</v>
      </c>
      <c r="R579">
        <v>0</v>
      </c>
      <c r="S579">
        <v>0</v>
      </c>
      <c r="T579" s="240" t="s">
        <v>637</v>
      </c>
    </row>
    <row r="580" spans="2:20" hidden="1">
      <c r="B580" t="s">
        <v>642</v>
      </c>
      <c r="C580" t="s">
        <v>636</v>
      </c>
      <c r="H580">
        <v>5.0000000000000001E-4</v>
      </c>
      <c r="J580">
        <v>2.0000000000000001E-4</v>
      </c>
      <c r="K580">
        <v>5.0000000000000001E-4</v>
      </c>
      <c r="M580" t="s">
        <v>101</v>
      </c>
      <c r="R580">
        <v>0</v>
      </c>
      <c r="S580">
        <v>0</v>
      </c>
      <c r="T580" s="240" t="s">
        <v>637</v>
      </c>
    </row>
    <row r="581" spans="2:20" hidden="1">
      <c r="B581" t="s">
        <v>642</v>
      </c>
      <c r="C581" t="s">
        <v>638</v>
      </c>
      <c r="H581">
        <v>5.0000000000000001E-4</v>
      </c>
      <c r="J581">
        <v>1E-4</v>
      </c>
      <c r="K581">
        <v>2.0000000000000001E-4</v>
      </c>
      <c r="M581" t="s">
        <v>101</v>
      </c>
      <c r="N581">
        <v>14</v>
      </c>
      <c r="O581">
        <v>5.0000000000000001E-4</v>
      </c>
      <c r="P581">
        <v>2.0000000000000001E-4</v>
      </c>
      <c r="R581">
        <v>14.072099999999999</v>
      </c>
      <c r="S581">
        <v>14.067</v>
      </c>
      <c r="T581" s="240" t="s">
        <v>637</v>
      </c>
    </row>
    <row r="582" spans="2:20" hidden="1">
      <c r="B582" t="s">
        <v>643</v>
      </c>
      <c r="C582" t="s">
        <v>639</v>
      </c>
      <c r="H582">
        <v>25</v>
      </c>
      <c r="J582">
        <v>7</v>
      </c>
      <c r="K582">
        <v>14</v>
      </c>
      <c r="M582" t="s">
        <v>101</v>
      </c>
      <c r="N582">
        <v>1.4E-2</v>
      </c>
      <c r="O582">
        <v>4.9999999999999998E-7</v>
      </c>
      <c r="P582">
        <v>2.0000000000000002E-7</v>
      </c>
      <c r="R582">
        <v>1.4072100000000001E-2</v>
      </c>
      <c r="S582">
        <v>1.4067E-2</v>
      </c>
      <c r="T582" s="240" t="s">
        <v>637</v>
      </c>
    </row>
    <row r="583" spans="2:20" hidden="1">
      <c r="B583" t="s">
        <v>644</v>
      </c>
      <c r="C583" t="s">
        <v>635</v>
      </c>
      <c r="H583">
        <v>670</v>
      </c>
      <c r="J583">
        <v>700</v>
      </c>
      <c r="K583">
        <v>670</v>
      </c>
      <c r="M583" t="s">
        <v>101</v>
      </c>
      <c r="R583">
        <v>0</v>
      </c>
      <c r="S583">
        <v>0</v>
      </c>
      <c r="T583" s="240" t="s">
        <v>637</v>
      </c>
    </row>
    <row r="584" spans="2:20" hidden="1">
      <c r="B584" t="s">
        <v>644</v>
      </c>
      <c r="C584" t="s">
        <v>636</v>
      </c>
      <c r="H584">
        <v>0.02</v>
      </c>
      <c r="J584">
        <v>0.03</v>
      </c>
      <c r="K584">
        <v>0.03</v>
      </c>
      <c r="M584" t="s">
        <v>101</v>
      </c>
      <c r="R584">
        <v>0</v>
      </c>
      <c r="S584">
        <v>0</v>
      </c>
      <c r="T584" s="240" t="s">
        <v>637</v>
      </c>
    </row>
    <row r="585" spans="2:20" hidden="1">
      <c r="B585" t="s">
        <v>644</v>
      </c>
      <c r="C585" t="s">
        <v>638</v>
      </c>
      <c r="H585">
        <v>0.01</v>
      </c>
      <c r="J585">
        <v>0.01</v>
      </c>
      <c r="K585">
        <v>0.01</v>
      </c>
      <c r="M585" t="s">
        <v>101</v>
      </c>
      <c r="N585">
        <v>670</v>
      </c>
      <c r="O585">
        <v>0.03</v>
      </c>
      <c r="P585">
        <v>0.01</v>
      </c>
      <c r="R585">
        <v>673.73</v>
      </c>
      <c r="S585">
        <v>673.49</v>
      </c>
      <c r="T585" s="240" t="s">
        <v>637</v>
      </c>
    </row>
    <row r="586" spans="2:20" hidden="1">
      <c r="B586" t="s">
        <v>645</v>
      </c>
      <c r="C586" t="s">
        <v>639</v>
      </c>
      <c r="H586">
        <v>680</v>
      </c>
      <c r="J586">
        <v>670</v>
      </c>
      <c r="K586">
        <v>670</v>
      </c>
      <c r="M586" t="s">
        <v>101</v>
      </c>
      <c r="N586">
        <v>0.67</v>
      </c>
      <c r="O586">
        <v>2.9999999999999997E-5</v>
      </c>
      <c r="P586">
        <v>1.0000000000000001E-5</v>
      </c>
      <c r="R586">
        <v>0.67373000000000005</v>
      </c>
      <c r="S586">
        <v>0.67349000000000003</v>
      </c>
      <c r="T586" s="240" t="s">
        <v>637</v>
      </c>
    </row>
    <row r="587" spans="2:20" hidden="1">
      <c r="B587" t="s">
        <v>646</v>
      </c>
      <c r="C587" t="s">
        <v>635</v>
      </c>
      <c r="H587">
        <v>330</v>
      </c>
      <c r="J587">
        <v>320</v>
      </c>
      <c r="K587">
        <v>310</v>
      </c>
      <c r="M587" t="s">
        <v>101</v>
      </c>
      <c r="R587">
        <v>0</v>
      </c>
      <c r="S587">
        <v>0</v>
      </c>
      <c r="T587" s="240" t="s">
        <v>637</v>
      </c>
    </row>
    <row r="588" spans="2:20" hidden="1">
      <c r="B588" t="s">
        <v>646</v>
      </c>
      <c r="C588" t="s">
        <v>636</v>
      </c>
      <c r="H588">
        <v>0.02</v>
      </c>
      <c r="J588">
        <v>0.02</v>
      </c>
      <c r="K588">
        <v>0.02</v>
      </c>
      <c r="M588" t="s">
        <v>101</v>
      </c>
      <c r="R588">
        <v>0</v>
      </c>
      <c r="S588">
        <v>0</v>
      </c>
      <c r="T588" s="240" t="s">
        <v>637</v>
      </c>
    </row>
    <row r="589" spans="2:20" hidden="1">
      <c r="B589" t="s">
        <v>646</v>
      </c>
      <c r="C589" t="s">
        <v>638</v>
      </c>
      <c r="H589">
        <v>5.0000000000000001E-3</v>
      </c>
      <c r="J589">
        <v>5.0000000000000001E-3</v>
      </c>
      <c r="K589">
        <v>4.0000000000000001E-3</v>
      </c>
      <c r="M589" t="s">
        <v>101</v>
      </c>
      <c r="N589">
        <v>310</v>
      </c>
      <c r="O589">
        <v>0.02</v>
      </c>
      <c r="P589">
        <v>4.0000000000000001E-3</v>
      </c>
      <c r="R589">
        <v>311.69200000000001</v>
      </c>
      <c r="S589">
        <v>311.62</v>
      </c>
      <c r="T589" s="240" t="s">
        <v>637</v>
      </c>
    </row>
    <row r="590" spans="2:20" hidden="1">
      <c r="B590" t="s">
        <v>647</v>
      </c>
      <c r="C590" t="s">
        <v>639</v>
      </c>
      <c r="H590">
        <v>340</v>
      </c>
      <c r="J590">
        <v>320</v>
      </c>
      <c r="K590">
        <v>310</v>
      </c>
      <c r="M590" t="s">
        <v>101</v>
      </c>
      <c r="N590">
        <v>0.31</v>
      </c>
      <c r="O590">
        <v>2.0000000000000002E-5</v>
      </c>
      <c r="P590">
        <v>3.9999999999999998E-6</v>
      </c>
      <c r="R590">
        <v>0.31169200000000002</v>
      </c>
      <c r="S590">
        <v>0.31162000000000001</v>
      </c>
      <c r="T590" s="240" t="s">
        <v>637</v>
      </c>
    </row>
    <row r="591" spans="2:20" hidden="1">
      <c r="B591" t="s">
        <v>648</v>
      </c>
      <c r="C591" t="s">
        <v>635</v>
      </c>
      <c r="H591">
        <v>1.2</v>
      </c>
      <c r="J591">
        <v>1.2</v>
      </c>
      <c r="K591">
        <v>1.2</v>
      </c>
      <c r="M591" t="s">
        <v>101</v>
      </c>
      <c r="R591">
        <v>0</v>
      </c>
      <c r="S591">
        <v>0</v>
      </c>
      <c r="T591" s="240" t="s">
        <v>637</v>
      </c>
    </row>
    <row r="592" spans="2:20" hidden="1">
      <c r="B592" t="s">
        <v>648</v>
      </c>
      <c r="C592" t="s">
        <v>636</v>
      </c>
      <c r="H592">
        <v>0</v>
      </c>
      <c r="J592">
        <v>0</v>
      </c>
      <c r="K592">
        <v>0</v>
      </c>
      <c r="M592" t="s">
        <v>101</v>
      </c>
      <c r="R592">
        <v>0</v>
      </c>
      <c r="S592">
        <v>0</v>
      </c>
      <c r="T592" s="240" t="s">
        <v>637</v>
      </c>
    </row>
    <row r="593" spans="2:20" hidden="1">
      <c r="B593" t="s">
        <v>648</v>
      </c>
      <c r="C593" t="s">
        <v>638</v>
      </c>
      <c r="H593">
        <v>1E-4</v>
      </c>
      <c r="J593">
        <v>1E-4</v>
      </c>
      <c r="K593">
        <v>1E-4</v>
      </c>
      <c r="M593" t="s">
        <v>101</v>
      </c>
      <c r="N593">
        <v>1.2</v>
      </c>
      <c r="O593">
        <v>0</v>
      </c>
      <c r="P593">
        <v>1E-4</v>
      </c>
      <c r="R593">
        <v>1.2298</v>
      </c>
      <c r="S593">
        <v>1.2264999999999999</v>
      </c>
      <c r="T593" s="240" t="s">
        <v>637</v>
      </c>
    </row>
    <row r="594" spans="2:20" hidden="1">
      <c r="B594" t="s">
        <v>649</v>
      </c>
      <c r="C594" t="s">
        <v>639</v>
      </c>
      <c r="H594">
        <v>1.3</v>
      </c>
      <c r="J594">
        <v>1.3</v>
      </c>
      <c r="K594">
        <v>1.3</v>
      </c>
      <c r="M594" t="s">
        <v>101</v>
      </c>
      <c r="N594">
        <v>1.1999999999999999E-3</v>
      </c>
      <c r="O594">
        <v>0</v>
      </c>
      <c r="P594">
        <v>1.0000000000000001E-7</v>
      </c>
      <c r="R594">
        <v>1.2297999999999999E-3</v>
      </c>
      <c r="S594">
        <v>1.2264999999999999E-3</v>
      </c>
      <c r="T594" s="240" t="s">
        <v>637</v>
      </c>
    </row>
    <row r="595" spans="2:20" hidden="1">
      <c r="B595" t="s">
        <v>650</v>
      </c>
      <c r="C595" t="s">
        <v>635</v>
      </c>
      <c r="H595">
        <v>35</v>
      </c>
      <c r="J595">
        <v>36</v>
      </c>
      <c r="K595">
        <v>17</v>
      </c>
      <c r="M595" t="s">
        <v>101</v>
      </c>
      <c r="R595">
        <v>0</v>
      </c>
      <c r="S595">
        <v>0</v>
      </c>
      <c r="T595" s="240" t="s">
        <v>637</v>
      </c>
    </row>
    <row r="596" spans="2:20" hidden="1">
      <c r="B596" t="s">
        <v>650</v>
      </c>
      <c r="C596" t="s">
        <v>636</v>
      </c>
      <c r="H596">
        <v>0.01</v>
      </c>
      <c r="J596">
        <v>0.01</v>
      </c>
      <c r="K596">
        <v>0</v>
      </c>
      <c r="M596" t="s">
        <v>101</v>
      </c>
      <c r="R596">
        <v>0</v>
      </c>
      <c r="S596">
        <v>0</v>
      </c>
      <c r="T596" s="240" t="s">
        <v>637</v>
      </c>
    </row>
    <row r="597" spans="2:20" hidden="1">
      <c r="B597" t="s">
        <v>650</v>
      </c>
      <c r="C597" t="s">
        <v>638</v>
      </c>
      <c r="H597">
        <v>1E-3</v>
      </c>
      <c r="J597">
        <v>1E-3</v>
      </c>
      <c r="K597">
        <v>1E-3</v>
      </c>
      <c r="M597" t="s">
        <v>101</v>
      </c>
      <c r="N597">
        <v>17</v>
      </c>
      <c r="O597">
        <v>0</v>
      </c>
      <c r="P597">
        <v>1E-3</v>
      </c>
      <c r="R597">
        <v>17.297999999999998</v>
      </c>
      <c r="S597">
        <v>17.265000000000001</v>
      </c>
      <c r="T597" s="240" t="s">
        <v>637</v>
      </c>
    </row>
    <row r="598" spans="2:20" hidden="1">
      <c r="B598" t="s">
        <v>66</v>
      </c>
      <c r="C598" t="s">
        <v>639</v>
      </c>
      <c r="H598">
        <v>36</v>
      </c>
      <c r="J598">
        <v>37</v>
      </c>
      <c r="K598">
        <v>17</v>
      </c>
      <c r="M598" t="s">
        <v>101</v>
      </c>
      <c r="N598">
        <v>1.7000000000000001E-2</v>
      </c>
      <c r="O598">
        <v>0</v>
      </c>
      <c r="P598">
        <v>9.9999999999999995E-7</v>
      </c>
      <c r="R598">
        <v>1.7298000000000001E-2</v>
      </c>
      <c r="S598">
        <v>1.7265000000000003E-2</v>
      </c>
      <c r="T598" s="240" t="s">
        <v>637</v>
      </c>
    </row>
    <row r="599" spans="2:20" hidden="1">
      <c r="B599" t="s">
        <v>651</v>
      </c>
      <c r="C599" t="s">
        <v>635</v>
      </c>
      <c r="H599">
        <v>1.9</v>
      </c>
      <c r="J599">
        <v>1.9</v>
      </c>
      <c r="K599">
        <v>1.9</v>
      </c>
      <c r="M599" t="s">
        <v>101</v>
      </c>
      <c r="R599">
        <v>0</v>
      </c>
      <c r="S599">
        <v>0</v>
      </c>
      <c r="T599" s="240" t="s">
        <v>637</v>
      </c>
    </row>
    <row r="600" spans="2:20" hidden="1">
      <c r="B600" t="s">
        <v>651</v>
      </c>
      <c r="C600" t="s">
        <v>636</v>
      </c>
      <c r="H600">
        <v>1E-4</v>
      </c>
      <c r="J600">
        <v>1E-4</v>
      </c>
      <c r="K600">
        <v>1E-4</v>
      </c>
      <c r="M600" t="s">
        <v>101</v>
      </c>
      <c r="R600">
        <v>0</v>
      </c>
      <c r="S600">
        <v>0</v>
      </c>
      <c r="T600" s="240" t="s">
        <v>637</v>
      </c>
    </row>
    <row r="601" spans="2:20" hidden="1">
      <c r="B601" t="s">
        <v>651</v>
      </c>
      <c r="C601" t="s">
        <v>638</v>
      </c>
      <c r="H601">
        <v>1E-4</v>
      </c>
      <c r="J601">
        <v>1E-4</v>
      </c>
      <c r="K601">
        <v>1E-4</v>
      </c>
      <c r="M601" t="s">
        <v>101</v>
      </c>
      <c r="N601">
        <v>1.9</v>
      </c>
      <c r="O601">
        <v>1E-4</v>
      </c>
      <c r="P601">
        <v>1E-4</v>
      </c>
      <c r="R601">
        <v>1.9322999999999999</v>
      </c>
      <c r="S601">
        <v>1.9292999999999998</v>
      </c>
      <c r="T601" s="240" t="s">
        <v>637</v>
      </c>
    </row>
    <row r="602" spans="2:20" hidden="1">
      <c r="B602" t="s">
        <v>652</v>
      </c>
      <c r="C602" t="s">
        <v>639</v>
      </c>
      <c r="H602">
        <v>1.9</v>
      </c>
      <c r="J602">
        <v>1.9</v>
      </c>
      <c r="K602">
        <v>1.9</v>
      </c>
      <c r="M602" t="s">
        <v>101</v>
      </c>
      <c r="N602">
        <v>1.9E-3</v>
      </c>
      <c r="O602">
        <v>1.0000000000000001E-7</v>
      </c>
      <c r="P602">
        <v>1.0000000000000001E-7</v>
      </c>
      <c r="R602">
        <v>1.9322999999999999E-3</v>
      </c>
      <c r="S602">
        <v>1.9293000000000001E-3</v>
      </c>
      <c r="T602" s="240" t="s">
        <v>637</v>
      </c>
    </row>
    <row r="603" spans="2:20" hidden="1">
      <c r="B603" t="s">
        <v>653</v>
      </c>
      <c r="C603" t="s">
        <v>635</v>
      </c>
      <c r="H603">
        <v>650</v>
      </c>
      <c r="J603">
        <v>650</v>
      </c>
      <c r="K603">
        <v>650</v>
      </c>
      <c r="M603" t="s">
        <v>101</v>
      </c>
      <c r="R603">
        <v>0</v>
      </c>
      <c r="S603">
        <v>0</v>
      </c>
      <c r="T603" s="240" t="s">
        <v>637</v>
      </c>
    </row>
    <row r="604" spans="2:20" hidden="1">
      <c r="B604" t="s">
        <v>653</v>
      </c>
      <c r="C604" t="s">
        <v>636</v>
      </c>
      <c r="H604">
        <v>0.05</v>
      </c>
      <c r="J604">
        <v>0.05</v>
      </c>
      <c r="K604">
        <v>0.05</v>
      </c>
      <c r="M604" t="s">
        <v>101</v>
      </c>
      <c r="R604">
        <v>0</v>
      </c>
      <c r="S604">
        <v>0</v>
      </c>
      <c r="T604" s="240" t="s">
        <v>637</v>
      </c>
    </row>
    <row r="605" spans="2:20" hidden="1">
      <c r="B605" t="s">
        <v>653</v>
      </c>
      <c r="C605" t="s">
        <v>638</v>
      </c>
      <c r="H605">
        <v>0.02</v>
      </c>
      <c r="J605">
        <v>0.02</v>
      </c>
      <c r="K605">
        <v>0.02</v>
      </c>
      <c r="M605" t="s">
        <v>101</v>
      </c>
      <c r="N605">
        <v>650</v>
      </c>
      <c r="O605">
        <v>0.05</v>
      </c>
      <c r="P605">
        <v>0.02</v>
      </c>
      <c r="R605">
        <v>657.21</v>
      </c>
      <c r="S605">
        <v>656.69999999999993</v>
      </c>
      <c r="T605" s="240" t="s">
        <v>637</v>
      </c>
    </row>
    <row r="606" spans="2:20" hidden="1">
      <c r="B606" t="s">
        <v>654</v>
      </c>
      <c r="C606" t="s">
        <v>639</v>
      </c>
      <c r="H606">
        <v>660</v>
      </c>
      <c r="J606">
        <v>660</v>
      </c>
      <c r="K606">
        <v>660</v>
      </c>
      <c r="M606" t="s">
        <v>101</v>
      </c>
      <c r="N606">
        <v>0.65</v>
      </c>
      <c r="O606">
        <v>5.0000000000000002E-5</v>
      </c>
      <c r="P606">
        <v>2.0000000000000002E-5</v>
      </c>
      <c r="R606">
        <v>0.65720999999999996</v>
      </c>
      <c r="S606">
        <v>0.65669999999999995</v>
      </c>
      <c r="T606" s="240" t="s">
        <v>637</v>
      </c>
    </row>
    <row r="607" spans="2:20" hidden="1">
      <c r="B607" t="s">
        <v>655</v>
      </c>
      <c r="C607" t="s">
        <v>635</v>
      </c>
      <c r="H607">
        <v>760</v>
      </c>
      <c r="J607">
        <v>740</v>
      </c>
      <c r="K607">
        <v>750</v>
      </c>
      <c r="M607" t="s">
        <v>101</v>
      </c>
      <c r="R607">
        <v>0</v>
      </c>
      <c r="S607">
        <v>0</v>
      </c>
      <c r="T607" s="240" t="s">
        <v>637</v>
      </c>
    </row>
    <row r="608" spans="2:20" hidden="1">
      <c r="B608" t="s">
        <v>655</v>
      </c>
      <c r="C608" t="s">
        <v>636</v>
      </c>
      <c r="H608">
        <v>0.04</v>
      </c>
      <c r="J608">
        <v>0.04</v>
      </c>
      <c r="K608">
        <v>0.04</v>
      </c>
      <c r="M608" t="s">
        <v>101</v>
      </c>
      <c r="R608">
        <v>0</v>
      </c>
      <c r="S608">
        <v>0</v>
      </c>
      <c r="T608" s="240" t="s">
        <v>637</v>
      </c>
    </row>
    <row r="609" spans="2:20" hidden="1">
      <c r="B609" t="s">
        <v>655</v>
      </c>
      <c r="C609" t="s">
        <v>638</v>
      </c>
      <c r="H609">
        <v>0.01</v>
      </c>
      <c r="J609">
        <v>0.01</v>
      </c>
      <c r="K609">
        <v>0.01</v>
      </c>
      <c r="M609" t="s">
        <v>101</v>
      </c>
      <c r="N609">
        <v>750</v>
      </c>
      <c r="O609">
        <v>0.04</v>
      </c>
      <c r="P609">
        <v>0.01</v>
      </c>
      <c r="R609">
        <v>753.98</v>
      </c>
      <c r="S609">
        <v>753.77</v>
      </c>
      <c r="T609" s="240" t="s">
        <v>637</v>
      </c>
    </row>
    <row r="610" spans="2:20" hidden="1">
      <c r="B610" t="s">
        <v>656</v>
      </c>
      <c r="C610" t="s">
        <v>639</v>
      </c>
      <c r="H610">
        <v>760</v>
      </c>
      <c r="J610">
        <v>750</v>
      </c>
      <c r="K610">
        <v>750</v>
      </c>
      <c r="M610" t="s">
        <v>101</v>
      </c>
      <c r="N610">
        <v>0.75</v>
      </c>
      <c r="O610">
        <v>4.0000000000000003E-5</v>
      </c>
      <c r="P610">
        <v>1.0000000000000001E-5</v>
      </c>
      <c r="R610">
        <v>0.75397999999999998</v>
      </c>
      <c r="S610">
        <v>0.75377000000000005</v>
      </c>
      <c r="T610" s="240" t="s">
        <v>637</v>
      </c>
    </row>
    <row r="611" spans="2:20" hidden="1">
      <c r="B611" t="s">
        <v>657</v>
      </c>
      <c r="C611" t="s">
        <v>635</v>
      </c>
      <c r="H611">
        <v>10.8</v>
      </c>
      <c r="J611">
        <v>11.2</v>
      </c>
      <c r="K611">
        <v>9</v>
      </c>
      <c r="M611" t="s">
        <v>101</v>
      </c>
      <c r="R611">
        <v>0</v>
      </c>
      <c r="S611">
        <v>0</v>
      </c>
      <c r="T611" s="240" t="s">
        <v>637</v>
      </c>
    </row>
    <row r="612" spans="2:20" hidden="1">
      <c r="B612" t="s">
        <v>657</v>
      </c>
      <c r="C612" t="s">
        <v>636</v>
      </c>
      <c r="H612">
        <v>3.0000000000000001E-3</v>
      </c>
      <c r="J612">
        <v>3.0000000000000001E-3</v>
      </c>
      <c r="K612">
        <v>3.0000000000000001E-3</v>
      </c>
      <c r="M612" t="s">
        <v>101</v>
      </c>
      <c r="R612">
        <v>0</v>
      </c>
      <c r="S612">
        <v>0</v>
      </c>
      <c r="T612" s="240" t="s">
        <v>637</v>
      </c>
    </row>
    <row r="613" spans="2:20" hidden="1">
      <c r="B613" t="s">
        <v>657</v>
      </c>
      <c r="C613" t="s">
        <v>638</v>
      </c>
      <c r="H613">
        <v>8.0000000000000004E-4</v>
      </c>
      <c r="J613">
        <v>8.0000000000000004E-4</v>
      </c>
      <c r="K613">
        <v>6.9999999999999999E-4</v>
      </c>
      <c r="M613" t="s">
        <v>101</v>
      </c>
      <c r="N613">
        <v>9</v>
      </c>
      <c r="O613">
        <v>3.0000000000000001E-3</v>
      </c>
      <c r="P613">
        <v>6.9999999999999999E-4</v>
      </c>
      <c r="R613">
        <v>9.2835999999999999</v>
      </c>
      <c r="S613">
        <v>9.269499999999999</v>
      </c>
      <c r="T613" s="240" t="s">
        <v>637</v>
      </c>
    </row>
    <row r="614" spans="2:20" hidden="1">
      <c r="B614" t="s">
        <v>658</v>
      </c>
      <c r="C614" t="s">
        <v>639</v>
      </c>
      <c r="H614">
        <v>11.1</v>
      </c>
      <c r="J614">
        <v>11</v>
      </c>
      <c r="K614">
        <v>9.3000000000000007</v>
      </c>
      <c r="M614" t="s">
        <v>101</v>
      </c>
      <c r="N614">
        <v>8.9999999999999993E-3</v>
      </c>
      <c r="O614">
        <v>3.0000000000000001E-6</v>
      </c>
      <c r="P614">
        <v>6.9999999999999997E-7</v>
      </c>
      <c r="R614">
        <v>9.2835999999999995E-3</v>
      </c>
      <c r="S614">
        <v>9.2695E-3</v>
      </c>
      <c r="T614" s="240" t="s">
        <v>637</v>
      </c>
    </row>
    <row r="615" spans="2:20" hidden="1">
      <c r="B615" t="s">
        <v>659</v>
      </c>
      <c r="C615" t="s">
        <v>635</v>
      </c>
      <c r="H615">
        <v>43</v>
      </c>
      <c r="J615">
        <v>43</v>
      </c>
      <c r="K615">
        <v>48</v>
      </c>
      <c r="M615" t="s">
        <v>101</v>
      </c>
      <c r="R615">
        <v>0</v>
      </c>
      <c r="S615">
        <v>0</v>
      </c>
      <c r="T615" s="240" t="s">
        <v>637</v>
      </c>
    </row>
    <row r="616" spans="2:20" hidden="1">
      <c r="B616" t="s">
        <v>659</v>
      </c>
      <c r="C616" t="s">
        <v>636</v>
      </c>
      <c r="H616">
        <v>3.0000000000000001E-3</v>
      </c>
      <c r="J616">
        <v>3.0000000000000001E-3</v>
      </c>
      <c r="K616">
        <v>4.0000000000000001E-3</v>
      </c>
      <c r="M616" t="s">
        <v>101</v>
      </c>
      <c r="R616">
        <v>0</v>
      </c>
      <c r="S616">
        <v>0</v>
      </c>
      <c r="T616" s="240" t="s">
        <v>637</v>
      </c>
    </row>
    <row r="617" spans="2:20" hidden="1">
      <c r="B617" t="s">
        <v>659</v>
      </c>
      <c r="C617" t="s">
        <v>638</v>
      </c>
      <c r="H617">
        <v>0.01</v>
      </c>
      <c r="J617">
        <v>0.01</v>
      </c>
      <c r="K617">
        <v>0.01</v>
      </c>
      <c r="M617" t="s">
        <v>101</v>
      </c>
      <c r="N617">
        <v>48</v>
      </c>
      <c r="O617">
        <v>4.0000000000000001E-3</v>
      </c>
      <c r="P617">
        <v>0.01</v>
      </c>
      <c r="R617">
        <v>51.08</v>
      </c>
      <c r="S617">
        <v>50.762</v>
      </c>
      <c r="T617" s="240" t="s">
        <v>637</v>
      </c>
    </row>
    <row r="618" spans="2:20" hidden="1">
      <c r="B618" t="s">
        <v>660</v>
      </c>
      <c r="C618" t="s">
        <v>639</v>
      </c>
      <c r="H618">
        <v>45</v>
      </c>
      <c r="J618">
        <v>45</v>
      </c>
      <c r="K618">
        <v>50</v>
      </c>
      <c r="M618" t="s">
        <v>101</v>
      </c>
      <c r="N618">
        <v>4.8000000000000001E-2</v>
      </c>
      <c r="O618">
        <v>3.9999999999999998E-6</v>
      </c>
      <c r="P618">
        <v>1.0000000000000001E-5</v>
      </c>
      <c r="R618">
        <v>5.1080000000000007E-2</v>
      </c>
      <c r="S618">
        <v>5.0762000000000002E-2</v>
      </c>
      <c r="T618" s="240" t="s">
        <v>637</v>
      </c>
    </row>
    <row r="619" spans="2:20" hidden="1">
      <c r="B619" t="s">
        <v>661</v>
      </c>
      <c r="C619" t="s">
        <v>635</v>
      </c>
      <c r="H619">
        <v>190</v>
      </c>
      <c r="J619">
        <v>190</v>
      </c>
      <c r="K619">
        <v>170</v>
      </c>
      <c r="M619" t="s">
        <v>101</v>
      </c>
      <c r="R619">
        <v>0</v>
      </c>
      <c r="S619">
        <v>0</v>
      </c>
      <c r="T619" s="240" t="s">
        <v>637</v>
      </c>
    </row>
    <row r="620" spans="2:20" hidden="1">
      <c r="B620" t="s">
        <v>661</v>
      </c>
      <c r="C620" t="s">
        <v>636</v>
      </c>
      <c r="H620">
        <v>0.01</v>
      </c>
      <c r="J620">
        <v>0.01</v>
      </c>
      <c r="K620">
        <v>0.01</v>
      </c>
      <c r="M620" t="s">
        <v>101</v>
      </c>
      <c r="R620">
        <v>0</v>
      </c>
      <c r="S620">
        <v>0</v>
      </c>
      <c r="T620" s="240" t="s">
        <v>637</v>
      </c>
    </row>
    <row r="621" spans="2:20" hidden="1">
      <c r="B621" t="s">
        <v>661</v>
      </c>
      <c r="C621" t="s">
        <v>638</v>
      </c>
      <c r="H621">
        <v>0.03</v>
      </c>
      <c r="J621">
        <v>0.03</v>
      </c>
      <c r="K621">
        <v>0.02</v>
      </c>
      <c r="M621" t="s">
        <v>101</v>
      </c>
      <c r="N621">
        <v>170</v>
      </c>
      <c r="O621">
        <v>0.01</v>
      </c>
      <c r="P621">
        <v>0.02</v>
      </c>
      <c r="R621">
        <v>176.21</v>
      </c>
      <c r="S621">
        <v>175.58</v>
      </c>
      <c r="T621" s="240" t="s">
        <v>637</v>
      </c>
    </row>
    <row r="622" spans="2:20" hidden="1">
      <c r="B622" t="s">
        <v>662</v>
      </c>
      <c r="C622" t="s">
        <v>639</v>
      </c>
      <c r="H622">
        <v>200</v>
      </c>
      <c r="J622">
        <v>200</v>
      </c>
      <c r="K622">
        <v>180</v>
      </c>
      <c r="M622" t="s">
        <v>101</v>
      </c>
      <c r="N622">
        <v>0.17</v>
      </c>
      <c r="O622">
        <v>1.0000000000000001E-5</v>
      </c>
      <c r="P622">
        <v>2.0000000000000002E-5</v>
      </c>
      <c r="R622">
        <v>0.17621000000000001</v>
      </c>
      <c r="S622">
        <v>0.17558000000000001</v>
      </c>
      <c r="T622" s="240" t="s">
        <v>637</v>
      </c>
    </row>
    <row r="623" spans="2:20" hidden="1">
      <c r="M623" t="s">
        <v>101</v>
      </c>
      <c r="R623">
        <v>0</v>
      </c>
      <c r="S623">
        <v>0</v>
      </c>
    </row>
    <row r="624" spans="2:20" hidden="1">
      <c r="M624" t="s">
        <v>101</v>
      </c>
      <c r="R624">
        <v>0</v>
      </c>
      <c r="S624">
        <v>0</v>
      </c>
    </row>
    <row r="625" spans="2:19" hidden="1">
      <c r="B625" t="s">
        <v>663</v>
      </c>
      <c r="M625" t="s">
        <v>101</v>
      </c>
      <c r="N625">
        <v>0.96799999999999997</v>
      </c>
      <c r="O625">
        <v>0</v>
      </c>
      <c r="P625">
        <v>0</v>
      </c>
      <c r="R625">
        <v>0.96799999999999997</v>
      </c>
      <c r="S625">
        <v>0.96799999999999997</v>
      </c>
    </row>
    <row r="626" spans="2:19" hidden="1">
      <c r="B626" t="s">
        <v>664</v>
      </c>
      <c r="M626" t="s">
        <v>101</v>
      </c>
      <c r="N626">
        <v>1.1082000000000001</v>
      </c>
      <c r="O626">
        <v>0</v>
      </c>
      <c r="P626">
        <v>0</v>
      </c>
      <c r="R626">
        <v>1.1082000000000001</v>
      </c>
      <c r="S626">
        <v>1.1082000000000001</v>
      </c>
    </row>
    <row r="627" spans="2:19" hidden="1">
      <c r="B627" t="s">
        <v>665</v>
      </c>
      <c r="M627" t="s">
        <v>101</v>
      </c>
      <c r="N627">
        <v>0.80459999999999998</v>
      </c>
      <c r="O627">
        <v>0</v>
      </c>
      <c r="P627">
        <v>0</v>
      </c>
      <c r="R627">
        <v>0.80459999999999998</v>
      </c>
      <c r="S627">
        <v>0.80459999999999998</v>
      </c>
    </row>
    <row r="628" spans="2:19" hidden="1">
      <c r="B628" t="s">
        <v>666</v>
      </c>
      <c r="M628" t="s">
        <v>101</v>
      </c>
      <c r="N628">
        <v>0.90139999999999998</v>
      </c>
      <c r="O628">
        <v>0</v>
      </c>
      <c r="P628">
        <v>0</v>
      </c>
      <c r="R628">
        <v>0.90139999999999998</v>
      </c>
      <c r="S628">
        <v>0.90139999999999998</v>
      </c>
    </row>
    <row r="629" spans="2:19" hidden="1">
      <c r="B629" t="s">
        <v>667</v>
      </c>
      <c r="M629" t="s">
        <v>101</v>
      </c>
      <c r="N629">
        <v>0.91549999999999998</v>
      </c>
      <c r="O629">
        <v>0</v>
      </c>
      <c r="P629">
        <v>0</v>
      </c>
      <c r="R629">
        <v>0.91549999999999998</v>
      </c>
      <c r="S629">
        <v>0.91549999999999998</v>
      </c>
    </row>
    <row r="630" spans="2:19" hidden="1">
      <c r="B630" t="s">
        <v>668</v>
      </c>
      <c r="M630" t="s">
        <v>101</v>
      </c>
      <c r="N630">
        <v>0.8367</v>
      </c>
      <c r="O630">
        <v>0</v>
      </c>
      <c r="P630">
        <v>0</v>
      </c>
      <c r="R630">
        <v>0.8367</v>
      </c>
      <c r="S630">
        <v>0.8367</v>
      </c>
    </row>
    <row r="631" spans="2:19" hidden="1">
      <c r="B631" t="s">
        <v>669</v>
      </c>
      <c r="M631" t="s">
        <v>101</v>
      </c>
      <c r="N631">
        <v>0</v>
      </c>
      <c r="O631">
        <v>0</v>
      </c>
      <c r="P631">
        <v>0</v>
      </c>
      <c r="R631">
        <v>0</v>
      </c>
      <c r="S631">
        <v>0</v>
      </c>
    </row>
    <row r="633" spans="2:19" ht="37.5">
      <c r="B633" s="449" t="s">
        <v>670</v>
      </c>
      <c r="C633" s="449" t="s">
        <v>671</v>
      </c>
      <c r="D633" s="357" t="s">
        <v>672</v>
      </c>
      <c r="E633" s="357" t="s">
        <v>673</v>
      </c>
      <c r="F633" s="357" t="s">
        <v>674</v>
      </c>
      <c r="G633" s="449" t="s">
        <v>319</v>
      </c>
      <c r="H633" s="357" t="s">
        <v>109</v>
      </c>
      <c r="I633" s="357" t="s">
        <v>110</v>
      </c>
      <c r="J633" s="449" t="s">
        <v>111</v>
      </c>
      <c r="K633" s="357" t="s">
        <v>112</v>
      </c>
    </row>
    <row r="634" spans="2:19" ht="15.75">
      <c r="B634" s="458" t="s">
        <v>67</v>
      </c>
      <c r="C634" s="458"/>
      <c r="D634" s="458">
        <v>0.47157050358495006</v>
      </c>
      <c r="E634" s="458">
        <v>3.7194574340000008E-5</v>
      </c>
      <c r="F634" s="458">
        <v>4.9895160700000003E-6</v>
      </c>
      <c r="G634" s="458"/>
      <c r="H634" s="458">
        <v>0.47398724373231005</v>
      </c>
      <c r="I634" s="458">
        <v>0.47393417342502009</v>
      </c>
      <c r="J634" s="458" t="s">
        <v>101</v>
      </c>
      <c r="K634" s="470" t="s">
        <v>675</v>
      </c>
    </row>
    <row r="635" spans="2:19" ht="15.75">
      <c r="B635" s="458" t="s">
        <v>566</v>
      </c>
      <c r="C635" s="458"/>
      <c r="D635" s="458">
        <v>0.23817364241671002</v>
      </c>
      <c r="E635" s="458">
        <v>1.0886216880000001E-5</v>
      </c>
      <c r="F635" s="458">
        <v>1.8143694800000002E-6</v>
      </c>
      <c r="G635" s="458"/>
      <c r="H635" s="458">
        <v>0.23898647994375</v>
      </c>
      <c r="I635" s="458">
        <v>0.23895926440155002</v>
      </c>
      <c r="J635" s="458" t="s">
        <v>101</v>
      </c>
      <c r="K635" s="470" t="s">
        <v>675</v>
      </c>
    </row>
    <row r="636" spans="2:19" ht="15.75">
      <c r="B636" s="458" t="s">
        <v>568</v>
      </c>
      <c r="C636" s="458"/>
      <c r="D636" s="458">
        <v>0.46373242743135007</v>
      </c>
      <c r="E636" s="458">
        <v>3.492661249E-5</v>
      </c>
      <c r="F636" s="458">
        <v>4.9895160700000003E-6</v>
      </c>
      <c r="G636" s="458"/>
      <c r="H636" s="458">
        <v>0.46609246853246006</v>
      </c>
      <c r="I636" s="458">
        <v>0.46603259433962008</v>
      </c>
      <c r="J636" s="458" t="s">
        <v>101</v>
      </c>
      <c r="K636" s="470" t="s">
        <v>675</v>
      </c>
    </row>
    <row r="637" spans="2:19" ht="15.75">
      <c r="B637" s="458" t="s">
        <v>570</v>
      </c>
      <c r="C637" s="458"/>
      <c r="D637" s="458">
        <v>0.22522494103032001</v>
      </c>
      <c r="E637" s="458">
        <v>1.5422140580000002E-5</v>
      </c>
      <c r="F637" s="458">
        <v>1.8143694800000002E-6</v>
      </c>
      <c r="G637" s="458"/>
      <c r="H637" s="458">
        <v>0.22615117664986001</v>
      </c>
      <c r="I637" s="458">
        <v>0.22613756887876002</v>
      </c>
      <c r="J637" s="458" t="s">
        <v>101</v>
      </c>
      <c r="K637" s="470" t="s">
        <v>675</v>
      </c>
    </row>
    <row r="638" spans="2:19" ht="15.75">
      <c r="B638" s="458" t="s">
        <v>572</v>
      </c>
      <c r="C638" s="458"/>
      <c r="D638" s="458">
        <v>0.42259931054264005</v>
      </c>
      <c r="E638" s="458">
        <v>2.9937096420000004E-5</v>
      </c>
      <c r="F638" s="458">
        <v>4.0823313299999998E-6</v>
      </c>
      <c r="G638" s="458"/>
      <c r="H638" s="458">
        <v>0.42456427268948005</v>
      </c>
      <c r="I638" s="458">
        <v>0.42451936704485005</v>
      </c>
      <c r="J638" s="458" t="s">
        <v>101</v>
      </c>
      <c r="K638" s="470" t="s">
        <v>675</v>
      </c>
    </row>
    <row r="639" spans="2:19" ht="15.75">
      <c r="B639" s="458" t="s">
        <v>574</v>
      </c>
      <c r="C639" s="458"/>
      <c r="D639" s="458">
        <v>0.42267642124554006</v>
      </c>
      <c r="E639" s="458">
        <v>2.9937096420000004E-5</v>
      </c>
      <c r="F639" s="458">
        <v>4.0823313299999998E-6</v>
      </c>
      <c r="G639" s="458"/>
      <c r="H639" s="458">
        <v>0.42464138339238006</v>
      </c>
      <c r="I639" s="458">
        <v>0.42459647774775006</v>
      </c>
      <c r="J639" s="458" t="s">
        <v>101</v>
      </c>
      <c r="K639" s="470" t="s">
        <v>675</v>
      </c>
    </row>
    <row r="640" spans="2:19" ht="15.75">
      <c r="B640" s="458" t="s">
        <v>576</v>
      </c>
      <c r="C640" s="458"/>
      <c r="D640" s="458">
        <v>0.50380005584293008</v>
      </c>
      <c r="E640" s="458">
        <v>5.3523899660000004E-5</v>
      </c>
      <c r="F640" s="458">
        <v>8.1646626599999996E-6</v>
      </c>
      <c r="G640" s="458"/>
      <c r="H640" s="458">
        <v>0.50757122280711009</v>
      </c>
      <c r="I640" s="458">
        <v>0.50746236063831007</v>
      </c>
      <c r="J640" s="458" t="s">
        <v>101</v>
      </c>
      <c r="K640" s="470" t="s">
        <v>675</v>
      </c>
    </row>
    <row r="641" spans="2:11" ht="15.75">
      <c r="B641" s="458" t="s">
        <v>578</v>
      </c>
      <c r="C641" s="458"/>
      <c r="D641" s="458">
        <v>0.75747340313491007</v>
      </c>
      <c r="E641" s="458">
        <v>8.1646626600000006E-5</v>
      </c>
      <c r="F641" s="458">
        <v>1.224699399E-5</v>
      </c>
      <c r="G641" s="458"/>
      <c r="H641" s="458">
        <v>0.76316417300893014</v>
      </c>
      <c r="I641" s="458">
        <v>0.76300496208706015</v>
      </c>
      <c r="J641" s="458" t="s">
        <v>101</v>
      </c>
      <c r="K641" s="470" t="s">
        <v>675</v>
      </c>
    </row>
    <row r="642" spans="2:11" ht="15.75">
      <c r="B642" s="458" t="s">
        <v>580</v>
      </c>
      <c r="C642" s="458"/>
      <c r="D642" s="458">
        <v>0.76113525433792006</v>
      </c>
      <c r="E642" s="458">
        <v>7.665711053000001E-5</v>
      </c>
      <c r="F642" s="458">
        <v>1.1339809250000001E-5</v>
      </c>
      <c r="G642" s="458"/>
      <c r="H642" s="458">
        <v>0.76643094525766997</v>
      </c>
      <c r="I642" s="458">
        <v>0.76628670288401013</v>
      </c>
      <c r="J642" s="458" t="s">
        <v>101</v>
      </c>
      <c r="K642" s="470" t="s">
        <v>675</v>
      </c>
    </row>
    <row r="643" spans="2:11" ht="15.75">
      <c r="B643" s="458" t="s">
        <v>582</v>
      </c>
      <c r="C643" s="458"/>
      <c r="D643" s="458">
        <v>0.56238559275976008</v>
      </c>
      <c r="E643" s="458">
        <v>6.2595747060000009E-5</v>
      </c>
      <c r="F643" s="458">
        <v>9.0718474000000018E-6</v>
      </c>
      <c r="G643" s="458"/>
      <c r="H643" s="458">
        <v>0.56665389696146007</v>
      </c>
      <c r="I643" s="458">
        <v>0.56654231323844007</v>
      </c>
      <c r="J643" s="458" t="s">
        <v>101</v>
      </c>
      <c r="K643" s="470" t="s">
        <v>675</v>
      </c>
    </row>
    <row r="644" spans="2:11" ht="15.75">
      <c r="B644" s="458" t="s">
        <v>584</v>
      </c>
      <c r="C644" s="458"/>
      <c r="D644" s="458">
        <v>0.23691673795944002</v>
      </c>
      <c r="E644" s="458">
        <v>3.7194574340000008E-5</v>
      </c>
      <c r="F644" s="458">
        <v>4.9895160700000003E-6</v>
      </c>
      <c r="G644" s="458"/>
      <c r="H644" s="458">
        <v>0.23933347810680003</v>
      </c>
      <c r="I644" s="458">
        <v>0.23928040779951004</v>
      </c>
      <c r="J644" s="458" t="s">
        <v>101</v>
      </c>
      <c r="K644" s="470" t="s">
        <v>675</v>
      </c>
    </row>
    <row r="645" spans="2:11" ht="15.75">
      <c r="B645" s="458" t="s">
        <v>586</v>
      </c>
      <c r="C645" s="458"/>
      <c r="D645" s="458">
        <v>0.28986230734769003</v>
      </c>
      <c r="E645" s="458">
        <v>2.9029911680000003E-5</v>
      </c>
      <c r="F645" s="458">
        <v>4.0823313299999998E-6</v>
      </c>
      <c r="G645" s="458"/>
      <c r="H645" s="458">
        <v>0.29180458987603003</v>
      </c>
      <c r="I645" s="458">
        <v>0.29175696267717999</v>
      </c>
      <c r="J645" s="458" t="s">
        <v>101</v>
      </c>
      <c r="K645" s="470" t="s">
        <v>675</v>
      </c>
    </row>
    <row r="646" spans="2:11" ht="15.75">
      <c r="B646" s="458" t="s">
        <v>588</v>
      </c>
      <c r="C646" s="458"/>
      <c r="D646" s="458">
        <v>0.27052883976118003</v>
      </c>
      <c r="E646" s="458">
        <v>9.9790321400000006E-6</v>
      </c>
      <c r="F646" s="458">
        <v>1.3607771100000001E-6</v>
      </c>
      <c r="G646" s="458"/>
      <c r="H646" s="458">
        <v>0.27118382714346001</v>
      </c>
      <c r="I646" s="458">
        <v>0.27116885859525003</v>
      </c>
      <c r="J646" s="458" t="s">
        <v>101</v>
      </c>
      <c r="K646" s="470" t="s">
        <v>675</v>
      </c>
    </row>
    <row r="647" spans="2:11" ht="15.75">
      <c r="B647" s="458" t="s">
        <v>590</v>
      </c>
      <c r="C647" s="458"/>
      <c r="D647" s="458">
        <v>0.53716268184117</v>
      </c>
      <c r="E647" s="458">
        <v>6.3049339430000016E-5</v>
      </c>
      <c r="F647" s="458">
        <v>8.1646626599999996E-6</v>
      </c>
      <c r="G647" s="458"/>
      <c r="H647" s="458">
        <v>0.54117198479959994</v>
      </c>
      <c r="I647" s="458">
        <v>0.54109169895011</v>
      </c>
      <c r="J647" s="458" t="s">
        <v>101</v>
      </c>
      <c r="K647" s="470" t="s">
        <v>675</v>
      </c>
    </row>
    <row r="648" spans="2:11" ht="15.75">
      <c r="B648" s="458" t="s">
        <v>592</v>
      </c>
      <c r="C648" s="458"/>
      <c r="D648" s="458">
        <v>0.11480967195544001</v>
      </c>
      <c r="E648" s="458">
        <v>8.1646626599999996E-6</v>
      </c>
      <c r="F648" s="458">
        <v>9.071847400000001E-7</v>
      </c>
      <c r="G648" s="458"/>
      <c r="H648" s="458">
        <v>0.11528412957446001</v>
      </c>
      <c r="I648" s="458">
        <v>0.11527868646602001</v>
      </c>
      <c r="J648" s="458" t="s">
        <v>101</v>
      </c>
      <c r="K648" s="470" t="s">
        <v>675</v>
      </c>
    </row>
    <row r="649" spans="2:11" ht="15.75">
      <c r="B649" s="458" t="s">
        <v>594</v>
      </c>
      <c r="C649" s="458"/>
      <c r="D649" s="458">
        <v>0.32475671477942003</v>
      </c>
      <c r="E649" s="458">
        <v>2.7669134570000002E-5</v>
      </c>
      <c r="F649" s="458">
        <v>3.6287389600000004E-6</v>
      </c>
      <c r="G649" s="458"/>
      <c r="H649" s="458">
        <v>0.32652980735375003</v>
      </c>
      <c r="I649" s="458">
        <v>0.32649306637178005</v>
      </c>
      <c r="J649" s="458" t="s">
        <v>101</v>
      </c>
      <c r="K649" s="470" t="s">
        <v>675</v>
      </c>
    </row>
    <row r="650" spans="2:11" ht="15.75">
      <c r="B650" s="458" t="s">
        <v>596</v>
      </c>
      <c r="C650" s="458"/>
      <c r="D650" s="458">
        <v>0.59536720116719999</v>
      </c>
      <c r="E650" s="458">
        <v>5.8513415730000006E-5</v>
      </c>
      <c r="F650" s="458">
        <v>8.1646626599999996E-6</v>
      </c>
      <c r="G650" s="458"/>
      <c r="H650" s="458">
        <v>0.59926310603312993</v>
      </c>
      <c r="I650" s="458">
        <v>0.59916921241253995</v>
      </c>
      <c r="J650" s="458" t="s">
        <v>101</v>
      </c>
      <c r="K650" s="470" t="s">
        <v>675</v>
      </c>
    </row>
    <row r="651" spans="2:11" ht="15.75">
      <c r="B651" s="458" t="s">
        <v>598</v>
      </c>
      <c r="C651" s="458"/>
      <c r="D651" s="458">
        <v>0.52893224828752006</v>
      </c>
      <c r="E651" s="458">
        <v>5.307030729000001E-5</v>
      </c>
      <c r="F651" s="458">
        <v>7.711070290000001E-6</v>
      </c>
      <c r="G651" s="458"/>
      <c r="H651" s="458">
        <v>0.53255690491619001</v>
      </c>
      <c r="I651" s="458">
        <v>0.53246165051849004</v>
      </c>
      <c r="J651" s="458" t="s">
        <v>101</v>
      </c>
      <c r="K651" s="470" t="s">
        <v>675</v>
      </c>
    </row>
    <row r="652" spans="2:11" ht="15.75">
      <c r="B652" s="458" t="s">
        <v>600</v>
      </c>
      <c r="C652" s="458"/>
      <c r="D652" s="458">
        <v>0.57770204631755007</v>
      </c>
      <c r="E652" s="458">
        <v>5.5791861510000005E-5</v>
      </c>
      <c r="F652" s="458">
        <v>8.1646626599999996E-6</v>
      </c>
      <c r="G652" s="458"/>
      <c r="H652" s="458">
        <v>0.58152991232798001</v>
      </c>
      <c r="I652" s="458">
        <v>0.58142785404473007</v>
      </c>
      <c r="J652" s="458" t="s">
        <v>101</v>
      </c>
      <c r="K652" s="470" t="s">
        <v>675</v>
      </c>
    </row>
    <row r="653" spans="2:11" ht="15.75">
      <c r="B653" s="458" t="s">
        <v>602</v>
      </c>
      <c r="C653" s="458"/>
      <c r="D653" s="458">
        <v>0.52761274808319003</v>
      </c>
      <c r="E653" s="458">
        <v>5.6245453880000005E-5</v>
      </c>
      <c r="F653" s="458">
        <v>8.1646626599999996E-6</v>
      </c>
      <c r="G653" s="458"/>
      <c r="H653" s="458">
        <v>0.53145195390287003</v>
      </c>
      <c r="I653" s="458">
        <v>0.53135125639672998</v>
      </c>
      <c r="J653" s="458" t="s">
        <v>101</v>
      </c>
      <c r="K653" s="470" t="s">
        <v>675</v>
      </c>
    </row>
    <row r="654" spans="2:11" ht="15.75">
      <c r="B654" s="458" t="s">
        <v>604</v>
      </c>
      <c r="C654" s="458"/>
      <c r="D654" s="458">
        <v>0.52915269417934008</v>
      </c>
      <c r="E654" s="458">
        <v>4.1276905670000003E-5</v>
      </c>
      <c r="F654" s="458">
        <v>5.89670081E-6</v>
      </c>
      <c r="G654" s="458"/>
      <c r="H654" s="458">
        <v>0.53194183366247005</v>
      </c>
      <c r="I654" s="458">
        <v>0.53187107325275007</v>
      </c>
      <c r="J654" s="458" t="s">
        <v>101</v>
      </c>
      <c r="K654" s="470" t="s">
        <v>675</v>
      </c>
    </row>
    <row r="655" spans="2:11" ht="15.75">
      <c r="B655" s="458" t="s">
        <v>606</v>
      </c>
      <c r="C655" s="458"/>
      <c r="D655" s="458">
        <v>0.38766045105865005</v>
      </c>
      <c r="E655" s="458">
        <v>2.4947580350000004E-5</v>
      </c>
      <c r="F655" s="458">
        <v>3.6287389600000004E-6</v>
      </c>
      <c r="G655" s="458"/>
      <c r="H655" s="458">
        <v>0.38936550477748005</v>
      </c>
      <c r="I655" s="458">
        <v>0.38932059913285005</v>
      </c>
      <c r="J655" s="458" t="s">
        <v>101</v>
      </c>
      <c r="K655" s="470" t="s">
        <v>675</v>
      </c>
    </row>
    <row r="656" spans="2:11" ht="15.75">
      <c r="B656" s="458" t="s">
        <v>608</v>
      </c>
      <c r="C656" s="458"/>
      <c r="D656" s="458">
        <v>0.75484574253550007</v>
      </c>
      <c r="E656" s="458">
        <v>8.3914588450000001E-5</v>
      </c>
      <c r="F656" s="458">
        <v>1.224699399E-5</v>
      </c>
      <c r="G656" s="458"/>
      <c r="H656" s="458">
        <v>0.76059321145577008</v>
      </c>
      <c r="I656" s="458">
        <v>0.76044080441945017</v>
      </c>
      <c r="J656" s="458" t="s">
        <v>101</v>
      </c>
      <c r="K656" s="470" t="s">
        <v>675</v>
      </c>
    </row>
    <row r="657" spans="2:11" ht="15.75">
      <c r="B657" s="458" t="s">
        <v>610</v>
      </c>
      <c r="C657" s="458"/>
      <c r="D657" s="458">
        <v>0.46626029770936012</v>
      </c>
      <c r="E657" s="458">
        <v>3.6740981970000007E-5</v>
      </c>
      <c r="F657" s="458">
        <v>5.4431084400000006E-6</v>
      </c>
      <c r="G657" s="458"/>
      <c r="H657" s="458">
        <v>0.4688008685737301</v>
      </c>
      <c r="I657" s="458">
        <v>0.46873146894112011</v>
      </c>
      <c r="J657" s="458" t="s">
        <v>101</v>
      </c>
      <c r="K657" s="470" t="s">
        <v>675</v>
      </c>
    </row>
    <row r="658" spans="2:11" ht="15.75">
      <c r="B658" s="458" t="s">
        <v>612</v>
      </c>
      <c r="C658" s="458"/>
      <c r="D658" s="458">
        <v>0.46789731257269007</v>
      </c>
      <c r="E658" s="458">
        <v>4.3998459890000005E-5</v>
      </c>
      <c r="F658" s="458">
        <v>6.3502931800000011E-6</v>
      </c>
      <c r="G658" s="458"/>
      <c r="H658" s="458">
        <v>0.4708896614375801</v>
      </c>
      <c r="I658" s="458">
        <v>0.47081209714231009</v>
      </c>
      <c r="J658" s="458" t="s">
        <v>101</v>
      </c>
      <c r="K658" s="470" t="s">
        <v>675</v>
      </c>
    </row>
    <row r="659" spans="2:11" ht="15.75">
      <c r="B659" s="458" t="s">
        <v>614</v>
      </c>
      <c r="C659" s="458"/>
      <c r="D659" s="458">
        <v>0.33716790920736001</v>
      </c>
      <c r="E659" s="458">
        <v>3.0390688790000004E-5</v>
      </c>
      <c r="F659" s="458">
        <v>4.0823313299999998E-6</v>
      </c>
      <c r="G659" s="458"/>
      <c r="H659" s="458">
        <v>0.33914421116345</v>
      </c>
      <c r="I659" s="458">
        <v>0.33910066629593</v>
      </c>
      <c r="J659" s="458" t="s">
        <v>101</v>
      </c>
      <c r="K659" s="470" t="s">
        <v>675</v>
      </c>
    </row>
    <row r="660" spans="2:11" ht="15.75">
      <c r="B660" s="458" t="s">
        <v>616</v>
      </c>
      <c r="C660" s="458"/>
      <c r="D660" s="458">
        <v>0.42963452820134007</v>
      </c>
      <c r="E660" s="458">
        <v>3.8555351450000009E-5</v>
      </c>
      <c r="F660" s="458">
        <v>5.4431084400000006E-6</v>
      </c>
      <c r="G660" s="458"/>
      <c r="H660" s="458">
        <v>0.43222045830271005</v>
      </c>
      <c r="I660" s="458">
        <v>0.43215650177854004</v>
      </c>
      <c r="J660" s="458" t="s">
        <v>101</v>
      </c>
      <c r="K660" s="470" t="s">
        <v>676</v>
      </c>
    </row>
    <row r="661" spans="2:11" ht="15.75">
      <c r="B661" s="458" t="s">
        <v>634</v>
      </c>
      <c r="C661" s="458"/>
      <c r="D661" s="458">
        <v>0.13</v>
      </c>
      <c r="E661" s="458">
        <v>0</v>
      </c>
      <c r="F661" s="458">
        <v>0</v>
      </c>
      <c r="G661" s="458"/>
      <c r="H661" s="458">
        <v>0.13</v>
      </c>
      <c r="I661" s="458">
        <v>0.13</v>
      </c>
      <c r="J661" s="458" t="s">
        <v>101</v>
      </c>
      <c r="K661" s="470" t="s">
        <v>637</v>
      </c>
    </row>
    <row r="662" spans="2:11" ht="15.75">
      <c r="B662" s="458" t="s">
        <v>641</v>
      </c>
      <c r="C662" s="458"/>
      <c r="D662" s="458">
        <v>0.04</v>
      </c>
      <c r="E662" s="458">
        <v>5.9999999999999997E-7</v>
      </c>
      <c r="F662" s="458">
        <v>9.9999999999999995E-7</v>
      </c>
      <c r="G662" s="458"/>
      <c r="H662" s="458">
        <v>4.0313000000000002E-2</v>
      </c>
      <c r="I662" s="458">
        <v>4.02818E-2</v>
      </c>
      <c r="J662" s="458" t="s">
        <v>101</v>
      </c>
      <c r="K662" s="470" t="s">
        <v>637</v>
      </c>
    </row>
    <row r="663" spans="2:11" ht="15.75">
      <c r="B663" s="458" t="s">
        <v>643</v>
      </c>
      <c r="C663" s="458"/>
      <c r="D663" s="458">
        <v>1.4E-2</v>
      </c>
      <c r="E663" s="458">
        <v>4.9999999999999998E-7</v>
      </c>
      <c r="F663" s="458">
        <v>2.0000000000000002E-7</v>
      </c>
      <c r="G663" s="458"/>
      <c r="H663" s="458">
        <v>1.4072100000000001E-2</v>
      </c>
      <c r="I663" s="458">
        <v>1.4067E-2</v>
      </c>
      <c r="J663" s="458" t="s">
        <v>101</v>
      </c>
      <c r="K663" s="470" t="s">
        <v>637</v>
      </c>
    </row>
    <row r="664" spans="2:11" ht="15.75">
      <c r="B664" s="458" t="s">
        <v>645</v>
      </c>
      <c r="C664" s="458"/>
      <c r="D664" s="458">
        <v>0.67</v>
      </c>
      <c r="E664" s="458">
        <v>2.9999999999999997E-5</v>
      </c>
      <c r="F664" s="458">
        <v>1.0000000000000001E-5</v>
      </c>
      <c r="G664" s="458"/>
      <c r="H664" s="458">
        <v>0.67373000000000005</v>
      </c>
      <c r="I664" s="458">
        <v>0.67349000000000003</v>
      </c>
      <c r="J664" s="458" t="s">
        <v>101</v>
      </c>
      <c r="K664" s="470" t="s">
        <v>637</v>
      </c>
    </row>
    <row r="665" spans="2:11" ht="15.75">
      <c r="B665" s="458" t="s">
        <v>647</v>
      </c>
      <c r="C665" s="458"/>
      <c r="D665" s="458">
        <v>0.31</v>
      </c>
      <c r="E665" s="458">
        <v>2.0000000000000002E-5</v>
      </c>
      <c r="F665" s="458">
        <v>3.9999999999999998E-6</v>
      </c>
      <c r="G665" s="458"/>
      <c r="H665" s="458">
        <v>0.31169200000000002</v>
      </c>
      <c r="I665" s="458">
        <v>0.31162000000000001</v>
      </c>
      <c r="J665" s="458" t="s">
        <v>101</v>
      </c>
      <c r="K665" s="470" t="s">
        <v>637</v>
      </c>
    </row>
    <row r="666" spans="2:11" ht="15.75">
      <c r="B666" s="458" t="s">
        <v>649</v>
      </c>
      <c r="C666" s="458"/>
      <c r="D666" s="458">
        <v>1.1999999999999999E-3</v>
      </c>
      <c r="E666" s="458">
        <v>0</v>
      </c>
      <c r="F666" s="458">
        <v>1.0000000000000001E-7</v>
      </c>
      <c r="G666" s="458"/>
      <c r="H666" s="458">
        <v>1.2297999999999999E-3</v>
      </c>
      <c r="I666" s="458">
        <v>1.2264999999999999E-3</v>
      </c>
      <c r="J666" s="458" t="s">
        <v>101</v>
      </c>
      <c r="K666" s="470" t="s">
        <v>637</v>
      </c>
    </row>
    <row r="667" spans="2:11" ht="15.75">
      <c r="B667" s="458" t="s">
        <v>66</v>
      </c>
      <c r="C667" s="458"/>
      <c r="D667" s="458">
        <v>1.7000000000000001E-2</v>
      </c>
      <c r="E667" s="458">
        <v>0</v>
      </c>
      <c r="F667" s="458">
        <v>9.9999999999999995E-7</v>
      </c>
      <c r="G667" s="458"/>
      <c r="H667" s="458">
        <v>1.7298000000000001E-2</v>
      </c>
      <c r="I667" s="458">
        <v>1.7265000000000003E-2</v>
      </c>
      <c r="J667" s="458" t="s">
        <v>101</v>
      </c>
      <c r="K667" s="470" t="s">
        <v>637</v>
      </c>
    </row>
    <row r="668" spans="2:11" ht="15.75">
      <c r="B668" s="458" t="s">
        <v>652</v>
      </c>
      <c r="C668" s="458"/>
      <c r="D668" s="458">
        <v>1.9E-3</v>
      </c>
      <c r="E668" s="458">
        <v>1.0000000000000001E-7</v>
      </c>
      <c r="F668" s="458">
        <v>1.0000000000000001E-7</v>
      </c>
      <c r="G668" s="458"/>
      <c r="H668" s="458">
        <v>1.9322999999999999E-3</v>
      </c>
      <c r="I668" s="458">
        <v>1.9293000000000001E-3</v>
      </c>
      <c r="J668" s="458" t="s">
        <v>101</v>
      </c>
      <c r="K668" s="470" t="s">
        <v>637</v>
      </c>
    </row>
    <row r="669" spans="2:11" ht="15.75">
      <c r="B669" s="458" t="s">
        <v>654</v>
      </c>
      <c r="C669" s="458"/>
      <c r="D669" s="458">
        <v>0.65</v>
      </c>
      <c r="E669" s="458">
        <v>5.0000000000000002E-5</v>
      </c>
      <c r="F669" s="458">
        <v>2.0000000000000002E-5</v>
      </c>
      <c r="G669" s="458"/>
      <c r="H669" s="458">
        <v>0.65720999999999996</v>
      </c>
      <c r="I669" s="458">
        <v>0.65669999999999995</v>
      </c>
      <c r="J669" s="458" t="s">
        <v>101</v>
      </c>
      <c r="K669" s="470" t="s">
        <v>637</v>
      </c>
    </row>
    <row r="670" spans="2:11" ht="15.75">
      <c r="B670" s="458" t="s">
        <v>656</v>
      </c>
      <c r="C670" s="458"/>
      <c r="D670" s="458">
        <v>0.75</v>
      </c>
      <c r="E670" s="458">
        <v>4.0000000000000003E-5</v>
      </c>
      <c r="F670" s="458">
        <v>1.0000000000000001E-5</v>
      </c>
      <c r="G670" s="458"/>
      <c r="H670" s="458">
        <v>0.75397999999999998</v>
      </c>
      <c r="I670" s="458">
        <v>0.75377000000000005</v>
      </c>
      <c r="J670" s="458" t="s">
        <v>101</v>
      </c>
      <c r="K670" s="470" t="s">
        <v>637</v>
      </c>
    </row>
    <row r="671" spans="2:11" ht="15.75">
      <c r="B671" s="458" t="s">
        <v>658</v>
      </c>
      <c r="C671" s="458"/>
      <c r="D671" s="458">
        <v>8.9999999999999993E-3</v>
      </c>
      <c r="E671" s="458">
        <v>3.0000000000000001E-6</v>
      </c>
      <c r="F671" s="458">
        <v>6.9999999999999997E-7</v>
      </c>
      <c r="G671" s="458"/>
      <c r="H671" s="458">
        <v>9.2835999999999995E-3</v>
      </c>
      <c r="I671" s="458">
        <v>9.2695E-3</v>
      </c>
      <c r="J671" s="458" t="s">
        <v>101</v>
      </c>
      <c r="K671" s="470" t="s">
        <v>637</v>
      </c>
    </row>
    <row r="672" spans="2:11" ht="15.75">
      <c r="B672" s="458" t="s">
        <v>660</v>
      </c>
      <c r="C672" s="458"/>
      <c r="D672" s="458">
        <v>4.8000000000000001E-2</v>
      </c>
      <c r="E672" s="458">
        <v>3.9999999999999998E-6</v>
      </c>
      <c r="F672" s="458">
        <v>1.0000000000000001E-5</v>
      </c>
      <c r="G672" s="458"/>
      <c r="H672" s="458">
        <v>5.1080000000000007E-2</v>
      </c>
      <c r="I672" s="458">
        <v>5.0762000000000002E-2</v>
      </c>
      <c r="J672" s="458" t="s">
        <v>101</v>
      </c>
      <c r="K672" s="470" t="s">
        <v>637</v>
      </c>
    </row>
    <row r="673" spans="2:11" ht="15.75">
      <c r="B673" s="458" t="s">
        <v>662</v>
      </c>
      <c r="C673" s="458"/>
      <c r="D673" s="458">
        <v>0.17</v>
      </c>
      <c r="E673" s="458">
        <v>1.0000000000000001E-5</v>
      </c>
      <c r="F673" s="458">
        <v>2.0000000000000002E-5</v>
      </c>
      <c r="G673" s="458"/>
      <c r="H673" s="458">
        <v>0.17621000000000001</v>
      </c>
      <c r="I673" s="458">
        <v>0.17558000000000001</v>
      </c>
      <c r="J673" s="458" t="s">
        <v>101</v>
      </c>
      <c r="K673" s="470" t="s">
        <v>637</v>
      </c>
    </row>
    <row r="674" spans="2:11" ht="15.75">
      <c r="B674" s="458" t="s">
        <v>617</v>
      </c>
      <c r="C674" s="458"/>
      <c r="D674" s="458">
        <v>0.81</v>
      </c>
      <c r="E674" s="458">
        <v>0</v>
      </c>
      <c r="F674" s="458">
        <v>0</v>
      </c>
      <c r="G674" s="458"/>
      <c r="H674" s="458">
        <v>0.81</v>
      </c>
      <c r="I674" s="458">
        <v>0.81</v>
      </c>
      <c r="J674" s="458" t="s">
        <v>101</v>
      </c>
      <c r="K674" s="464" t="s">
        <v>618</v>
      </c>
    </row>
    <row r="675" spans="2:11" ht="15.75">
      <c r="B675" s="458" t="s">
        <v>619</v>
      </c>
      <c r="C675" s="458"/>
      <c r="D675" s="458">
        <v>1.02</v>
      </c>
      <c r="E675" s="458">
        <v>0</v>
      </c>
      <c r="F675" s="458">
        <v>0</v>
      </c>
      <c r="G675" s="458"/>
      <c r="H675" s="458">
        <v>1.02</v>
      </c>
      <c r="I675" s="458">
        <v>1.02</v>
      </c>
      <c r="J675" s="458" t="s">
        <v>101</v>
      </c>
      <c r="K675" s="464" t="s">
        <v>620</v>
      </c>
    </row>
    <row r="676" spans="2:11" ht="15.75">
      <c r="B676" s="458" t="s">
        <v>621</v>
      </c>
      <c r="C676" s="458"/>
      <c r="D676" s="458">
        <v>0.81</v>
      </c>
      <c r="E676" s="458">
        <v>0</v>
      </c>
      <c r="F676" s="458">
        <v>0</v>
      </c>
      <c r="G676" s="458"/>
      <c r="H676" s="458">
        <v>0.81</v>
      </c>
      <c r="I676" s="458">
        <v>0.81</v>
      </c>
      <c r="J676" s="458" t="s">
        <v>101</v>
      </c>
      <c r="K676" s="464" t="s">
        <v>622</v>
      </c>
    </row>
    <row r="677" spans="2:11" ht="15.75">
      <c r="B677" s="458" t="s">
        <v>623</v>
      </c>
      <c r="C677" s="458"/>
      <c r="D677" s="458">
        <v>0.44</v>
      </c>
      <c r="E677" s="458">
        <v>0</v>
      </c>
      <c r="F677" s="458">
        <v>0</v>
      </c>
      <c r="G677" s="458"/>
      <c r="H677" s="458">
        <v>0.44</v>
      </c>
      <c r="I677" s="458">
        <v>0.44</v>
      </c>
      <c r="J677" s="458" t="s">
        <v>101</v>
      </c>
      <c r="K677" s="464" t="s">
        <v>624</v>
      </c>
    </row>
    <row r="678" spans="2:11" ht="15.75">
      <c r="B678" s="458" t="s">
        <v>625</v>
      </c>
      <c r="C678" s="458"/>
      <c r="D678" s="458">
        <v>0.69</v>
      </c>
      <c r="E678" s="458">
        <v>0</v>
      </c>
      <c r="F678" s="458">
        <v>0</v>
      </c>
      <c r="G678" s="458"/>
      <c r="H678" s="458">
        <v>0.69</v>
      </c>
      <c r="I678" s="458">
        <v>0.69</v>
      </c>
      <c r="J678" s="458" t="s">
        <v>101</v>
      </c>
      <c r="K678" s="464" t="s">
        <v>626</v>
      </c>
    </row>
    <row r="679" spans="2:11" ht="15.75">
      <c r="B679" s="458" t="s">
        <v>627</v>
      </c>
      <c r="C679" s="458"/>
      <c r="D679" s="458">
        <v>0.15</v>
      </c>
      <c r="E679" s="458">
        <v>0</v>
      </c>
      <c r="F679" s="458">
        <v>0</v>
      </c>
      <c r="G679" s="458"/>
      <c r="H679" s="458">
        <v>0.15</v>
      </c>
      <c r="I679" s="458">
        <v>0.15</v>
      </c>
      <c r="J679" s="458" t="s">
        <v>101</v>
      </c>
      <c r="K679" s="464" t="s">
        <v>628</v>
      </c>
    </row>
    <row r="680" spans="2:11" ht="15.75">
      <c r="B680" s="458" t="s">
        <v>629</v>
      </c>
      <c r="C680" s="458"/>
      <c r="D680" s="458">
        <v>0.63</v>
      </c>
      <c r="E680" s="458">
        <v>0</v>
      </c>
      <c r="F680" s="458">
        <v>0</v>
      </c>
      <c r="G680" s="458"/>
      <c r="H680" s="458">
        <v>0.63</v>
      </c>
      <c r="I680" s="458">
        <v>0.63</v>
      </c>
      <c r="J680" s="458" t="s">
        <v>101</v>
      </c>
      <c r="K680" s="464" t="s">
        <v>630</v>
      </c>
    </row>
    <row r="681" spans="2:11" ht="15.75">
      <c r="B681" s="458" t="s">
        <v>663</v>
      </c>
      <c r="C681" s="458"/>
      <c r="D681" s="458">
        <v>0.96799999999999997</v>
      </c>
      <c r="E681" s="458">
        <v>0</v>
      </c>
      <c r="F681" s="458">
        <v>0</v>
      </c>
      <c r="G681" s="458"/>
      <c r="H681" s="458">
        <v>0.96799999999999997</v>
      </c>
      <c r="I681" s="458">
        <v>0.96799999999999997</v>
      </c>
      <c r="J681" s="458" t="s">
        <v>101</v>
      </c>
      <c r="K681" s="458"/>
    </row>
    <row r="682" spans="2:11" ht="15.75">
      <c r="B682" s="458" t="s">
        <v>664</v>
      </c>
      <c r="C682" s="458"/>
      <c r="D682" s="458">
        <v>1.1082000000000001</v>
      </c>
      <c r="E682" s="458">
        <v>0</v>
      </c>
      <c r="F682" s="458">
        <v>0</v>
      </c>
      <c r="G682" s="458"/>
      <c r="H682" s="458">
        <v>1.1082000000000001</v>
      </c>
      <c r="I682" s="458">
        <v>1.1082000000000001</v>
      </c>
      <c r="J682" s="458" t="s">
        <v>101</v>
      </c>
      <c r="K682" s="458"/>
    </row>
    <row r="683" spans="2:11" ht="15.75">
      <c r="B683" s="458" t="s">
        <v>665</v>
      </c>
      <c r="C683" s="458"/>
      <c r="D683" s="458">
        <v>0.80459999999999998</v>
      </c>
      <c r="E683" s="458">
        <v>0</v>
      </c>
      <c r="F683" s="458">
        <v>0</v>
      </c>
      <c r="G683" s="458"/>
      <c r="H683" s="458">
        <v>0.80459999999999998</v>
      </c>
      <c r="I683" s="458">
        <v>0.80459999999999998</v>
      </c>
      <c r="J683" s="458" t="s">
        <v>101</v>
      </c>
      <c r="K683" s="458"/>
    </row>
    <row r="684" spans="2:11" ht="15.75">
      <c r="B684" s="458" t="s">
        <v>666</v>
      </c>
      <c r="C684" s="458"/>
      <c r="D684" s="458">
        <v>0.90139999999999998</v>
      </c>
      <c r="E684" s="458">
        <v>0</v>
      </c>
      <c r="F684" s="458">
        <v>0</v>
      </c>
      <c r="G684" s="458"/>
      <c r="H684" s="458">
        <v>0.90139999999999998</v>
      </c>
      <c r="I684" s="458">
        <v>0.90139999999999998</v>
      </c>
      <c r="J684" s="458" t="s">
        <v>101</v>
      </c>
      <c r="K684" s="458"/>
    </row>
    <row r="685" spans="2:11" ht="15.75">
      <c r="B685" s="458" t="s">
        <v>667</v>
      </c>
      <c r="C685" s="458"/>
      <c r="D685" s="458">
        <v>0.91549999999999998</v>
      </c>
      <c r="E685" s="458">
        <v>0</v>
      </c>
      <c r="F685" s="458">
        <v>0</v>
      </c>
      <c r="G685" s="458"/>
      <c r="H685" s="458">
        <v>0.91549999999999998</v>
      </c>
      <c r="I685" s="458">
        <v>0.91549999999999998</v>
      </c>
      <c r="J685" s="458" t="s">
        <v>101</v>
      </c>
      <c r="K685" s="458"/>
    </row>
    <row r="686" spans="2:11" ht="15.75">
      <c r="B686" s="458" t="s">
        <v>668</v>
      </c>
      <c r="C686" s="458"/>
      <c r="D686" s="458">
        <v>0.8367</v>
      </c>
      <c r="E686" s="458">
        <v>0</v>
      </c>
      <c r="F686" s="458">
        <v>0</v>
      </c>
      <c r="G686" s="458"/>
      <c r="H686" s="458">
        <v>0.8367</v>
      </c>
      <c r="I686" s="458">
        <v>0.8367</v>
      </c>
      <c r="J686" s="458" t="s">
        <v>101</v>
      </c>
      <c r="K686" s="458"/>
    </row>
    <row r="687" spans="2:11" ht="15.75">
      <c r="B687" s="458" t="s">
        <v>669</v>
      </c>
      <c r="C687" s="458"/>
      <c r="D687" s="458">
        <v>0</v>
      </c>
      <c r="E687" s="458">
        <v>0</v>
      </c>
      <c r="F687" s="458">
        <v>0</v>
      </c>
      <c r="G687" s="458"/>
      <c r="H687" s="458">
        <v>0</v>
      </c>
      <c r="I687" s="458">
        <v>0</v>
      </c>
      <c r="J687" s="458" t="s">
        <v>101</v>
      </c>
      <c r="K687" s="458"/>
    </row>
    <row r="691" spans="2:20" hidden="1"/>
    <row r="692" spans="2:20" hidden="1"/>
    <row r="693" spans="2:20" hidden="1"/>
    <row r="694" spans="2:20" hidden="1"/>
    <row r="695" spans="2:20" hidden="1">
      <c r="B695" t="s">
        <v>677</v>
      </c>
      <c r="L695">
        <v>0.45359237000000002</v>
      </c>
      <c r="M695" t="s">
        <v>101</v>
      </c>
    </row>
    <row r="696" spans="2:20" hidden="1">
      <c r="L696">
        <v>11</v>
      </c>
      <c r="M696">
        <v>12</v>
      </c>
      <c r="N696">
        <v>13</v>
      </c>
      <c r="O696">
        <v>14</v>
      </c>
      <c r="P696">
        <v>15</v>
      </c>
      <c r="R696">
        <v>17</v>
      </c>
      <c r="S696">
        <v>18</v>
      </c>
      <c r="T696">
        <v>19</v>
      </c>
    </row>
    <row r="697" spans="2:20" hidden="1">
      <c r="B697" t="s">
        <v>678</v>
      </c>
      <c r="C697" t="s">
        <v>679</v>
      </c>
      <c r="D697" t="s">
        <v>680</v>
      </c>
      <c r="E697" t="s">
        <v>681</v>
      </c>
      <c r="F697" t="s">
        <v>682</v>
      </c>
      <c r="G697" t="s">
        <v>683</v>
      </c>
      <c r="H697" t="s">
        <v>684</v>
      </c>
      <c r="I697" t="s">
        <v>685</v>
      </c>
      <c r="J697" t="s">
        <v>686</v>
      </c>
      <c r="L697" t="s">
        <v>560</v>
      </c>
      <c r="M697" t="s">
        <v>101</v>
      </c>
      <c r="N697" t="s">
        <v>560</v>
      </c>
      <c r="R697" t="s">
        <v>551</v>
      </c>
      <c r="S697" t="s">
        <v>552</v>
      </c>
    </row>
    <row r="698" spans="2:20" hidden="1">
      <c r="B698" t="s">
        <v>67</v>
      </c>
      <c r="C698">
        <v>2522707</v>
      </c>
      <c r="D698">
        <v>4705316</v>
      </c>
      <c r="E698">
        <v>1072.28</v>
      </c>
      <c r="F698">
        <v>0</v>
      </c>
      <c r="G698">
        <v>43367</v>
      </c>
      <c r="H698">
        <v>1082.25</v>
      </c>
      <c r="I698">
        <v>9.9700000000000006</v>
      </c>
      <c r="J698">
        <v>9.2999999999999992E-3</v>
      </c>
      <c r="L698">
        <v>0.49090034243249997</v>
      </c>
      <c r="M698" t="s">
        <v>101</v>
      </c>
      <c r="N698">
        <v>0.49090034243249997</v>
      </c>
      <c r="R698">
        <v>0.49090034243249997</v>
      </c>
      <c r="S698">
        <v>0.49090034243249997</v>
      </c>
      <c r="T698" t="s">
        <v>687</v>
      </c>
    </row>
    <row r="699" spans="2:20" hidden="1">
      <c r="B699" t="s">
        <v>566</v>
      </c>
      <c r="C699">
        <v>409976</v>
      </c>
      <c r="D699">
        <v>1629718</v>
      </c>
      <c r="E699">
        <v>503.13</v>
      </c>
      <c r="F699">
        <v>0</v>
      </c>
      <c r="G699">
        <v>0</v>
      </c>
      <c r="H699">
        <v>503.13</v>
      </c>
      <c r="I699">
        <v>0</v>
      </c>
      <c r="J699">
        <v>0</v>
      </c>
      <c r="L699">
        <v>0.22821592911810001</v>
      </c>
      <c r="M699" t="s">
        <v>101</v>
      </c>
      <c r="N699">
        <v>0.22821592911810001</v>
      </c>
      <c r="R699">
        <v>0.22821592911810001</v>
      </c>
      <c r="S699">
        <v>0.22821592911810001</v>
      </c>
      <c r="T699" t="s">
        <v>687</v>
      </c>
    </row>
    <row r="700" spans="2:20" hidden="1">
      <c r="B700" t="s">
        <v>568</v>
      </c>
      <c r="C700">
        <v>86793512</v>
      </c>
      <c r="D700">
        <v>166327576</v>
      </c>
      <c r="E700">
        <v>1043.6500000000001</v>
      </c>
      <c r="F700">
        <v>0</v>
      </c>
      <c r="G700">
        <v>252652.81</v>
      </c>
      <c r="H700">
        <v>1045.23</v>
      </c>
      <c r="I700">
        <v>1.59</v>
      </c>
      <c r="J700">
        <v>1.5E-3</v>
      </c>
      <c r="L700">
        <v>0.47410835289510006</v>
      </c>
      <c r="M700" t="s">
        <v>101</v>
      </c>
      <c r="N700">
        <v>0.47410835289510006</v>
      </c>
      <c r="R700">
        <v>0.47410835289510006</v>
      </c>
      <c r="S700">
        <v>0.47410835289510006</v>
      </c>
      <c r="T700" t="s">
        <v>687</v>
      </c>
    </row>
    <row r="701" spans="2:20" hidden="1">
      <c r="B701" t="s">
        <v>570</v>
      </c>
      <c r="C701">
        <v>52945255</v>
      </c>
      <c r="D701">
        <v>200602485</v>
      </c>
      <c r="E701">
        <v>527.86</v>
      </c>
      <c r="F701">
        <v>0</v>
      </c>
      <c r="G701">
        <v>589775.29</v>
      </c>
      <c r="H701">
        <v>529.41999999999996</v>
      </c>
      <c r="I701">
        <v>1.56</v>
      </c>
      <c r="J701">
        <v>2.8999999999999998E-3</v>
      </c>
      <c r="L701">
        <v>0.24014087252540001</v>
      </c>
      <c r="M701" t="s">
        <v>101</v>
      </c>
      <c r="N701">
        <v>0.24014087252540001</v>
      </c>
      <c r="R701">
        <v>0.24014087252540001</v>
      </c>
      <c r="S701">
        <v>0.24014087252540001</v>
      </c>
      <c r="T701" t="s">
        <v>687</v>
      </c>
    </row>
    <row r="702" spans="2:20" hidden="1">
      <c r="B702" t="s">
        <v>572</v>
      </c>
      <c r="C702">
        <v>196754749</v>
      </c>
      <c r="D702">
        <v>389939062</v>
      </c>
      <c r="E702">
        <v>1009.16</v>
      </c>
      <c r="F702">
        <v>0</v>
      </c>
      <c r="G702">
        <v>22255509</v>
      </c>
      <c r="H702">
        <v>1070.24</v>
      </c>
      <c r="I702">
        <v>61.08</v>
      </c>
      <c r="J702">
        <v>6.0499999999999998E-2</v>
      </c>
      <c r="L702">
        <v>0.48545269806880004</v>
      </c>
      <c r="M702" t="s">
        <v>101</v>
      </c>
      <c r="N702">
        <v>0.48545269806880004</v>
      </c>
      <c r="R702">
        <v>0.48545269806880004</v>
      </c>
      <c r="S702">
        <v>0.48545269806880004</v>
      </c>
      <c r="T702" t="s">
        <v>687</v>
      </c>
    </row>
    <row r="703" spans="2:20" hidden="1">
      <c r="B703" t="s">
        <v>574</v>
      </c>
      <c r="C703">
        <v>116043999</v>
      </c>
      <c r="D703">
        <v>229407929</v>
      </c>
      <c r="E703">
        <v>1011.68</v>
      </c>
      <c r="F703">
        <v>0</v>
      </c>
      <c r="G703">
        <v>1240557</v>
      </c>
      <c r="H703">
        <v>1017.18</v>
      </c>
      <c r="I703">
        <v>5.5</v>
      </c>
      <c r="J703">
        <v>5.4000000000000003E-3</v>
      </c>
      <c r="L703">
        <v>0.46138508691660002</v>
      </c>
      <c r="M703" t="s">
        <v>101</v>
      </c>
      <c r="N703">
        <v>0.46138508691660002</v>
      </c>
      <c r="R703">
        <v>0.46138508691660002</v>
      </c>
      <c r="S703">
        <v>0.46138508691660002</v>
      </c>
      <c r="T703" t="s">
        <v>687</v>
      </c>
    </row>
    <row r="704" spans="2:20" hidden="1">
      <c r="B704" t="s">
        <v>576</v>
      </c>
      <c r="C704">
        <v>1579244</v>
      </c>
      <c r="D704">
        <v>2741704</v>
      </c>
      <c r="E704">
        <v>1152.02</v>
      </c>
      <c r="F704">
        <v>0</v>
      </c>
      <c r="G704">
        <v>0</v>
      </c>
      <c r="H704">
        <v>1152.02</v>
      </c>
      <c r="I704">
        <v>0</v>
      </c>
      <c r="J704">
        <v>0</v>
      </c>
      <c r="L704">
        <v>0.52254748208739998</v>
      </c>
      <c r="M704" t="s">
        <v>101</v>
      </c>
      <c r="N704">
        <v>0.52254748208739998</v>
      </c>
      <c r="R704">
        <v>0.52254748208739998</v>
      </c>
      <c r="S704">
        <v>0.52254748208739998</v>
      </c>
      <c r="T704" t="s">
        <v>687</v>
      </c>
    </row>
    <row r="705" spans="2:20" hidden="1">
      <c r="B705" t="s">
        <v>578</v>
      </c>
      <c r="C705">
        <v>5992334</v>
      </c>
      <c r="D705">
        <v>7207141</v>
      </c>
      <c r="E705">
        <v>1662.89</v>
      </c>
      <c r="F705">
        <v>0</v>
      </c>
      <c r="G705">
        <v>0</v>
      </c>
      <c r="H705">
        <v>1662.89</v>
      </c>
      <c r="I705">
        <v>0</v>
      </c>
      <c r="J705">
        <v>0</v>
      </c>
      <c r="L705">
        <v>0.75427421614930001</v>
      </c>
      <c r="M705" t="s">
        <v>101</v>
      </c>
      <c r="N705">
        <v>0.75427421614930001</v>
      </c>
      <c r="R705">
        <v>0.75427421614930001</v>
      </c>
      <c r="S705">
        <v>0.75427421614930001</v>
      </c>
      <c r="T705" t="s">
        <v>687</v>
      </c>
    </row>
    <row r="706" spans="2:20" hidden="1">
      <c r="B706" t="s">
        <v>580</v>
      </c>
      <c r="C706">
        <v>17075702</v>
      </c>
      <c r="D706">
        <v>20471860</v>
      </c>
      <c r="E706">
        <v>1668.21</v>
      </c>
      <c r="F706">
        <v>0</v>
      </c>
      <c r="G706">
        <v>7368.54</v>
      </c>
      <c r="H706">
        <v>1668.81</v>
      </c>
      <c r="I706">
        <v>0.6</v>
      </c>
      <c r="J706">
        <v>4.0000000000000002E-4</v>
      </c>
      <c r="L706">
        <v>0.75695948297970006</v>
      </c>
      <c r="M706" t="s">
        <v>101</v>
      </c>
      <c r="N706">
        <v>0.75695948297970006</v>
      </c>
      <c r="R706">
        <v>0.75695948297970006</v>
      </c>
      <c r="S706">
        <v>0.75695948297970006</v>
      </c>
      <c r="T706" t="s">
        <v>687</v>
      </c>
    </row>
    <row r="707" spans="2:20" hidden="1">
      <c r="B707" t="s">
        <v>582</v>
      </c>
      <c r="C707">
        <v>135157509</v>
      </c>
      <c r="D707">
        <v>218204106</v>
      </c>
      <c r="E707">
        <v>1238.82</v>
      </c>
      <c r="F707">
        <v>0</v>
      </c>
      <c r="G707">
        <v>9235075.0899999999</v>
      </c>
      <c r="H707">
        <v>1293.56</v>
      </c>
      <c r="I707">
        <v>54.75</v>
      </c>
      <c r="J707">
        <v>4.4200000000000003E-2</v>
      </c>
      <c r="L707">
        <v>0.58674894613720008</v>
      </c>
      <c r="M707" t="s">
        <v>101</v>
      </c>
      <c r="N707">
        <v>0.58674894613720008</v>
      </c>
      <c r="R707">
        <v>0.58674894613720008</v>
      </c>
      <c r="S707">
        <v>0.58674894613720008</v>
      </c>
      <c r="T707" t="s">
        <v>687</v>
      </c>
    </row>
    <row r="708" spans="2:20" hidden="1">
      <c r="B708" t="s">
        <v>584</v>
      </c>
      <c r="C708">
        <v>30064802</v>
      </c>
      <c r="D708">
        <v>107729043</v>
      </c>
      <c r="E708">
        <v>558.16</v>
      </c>
      <c r="F708">
        <v>0</v>
      </c>
      <c r="G708">
        <v>6013</v>
      </c>
      <c r="H708">
        <v>558.19000000000005</v>
      </c>
      <c r="I708">
        <v>0.03</v>
      </c>
      <c r="J708">
        <v>1E-4</v>
      </c>
      <c r="L708">
        <v>0.25319072501030004</v>
      </c>
      <c r="M708" t="s">
        <v>101</v>
      </c>
      <c r="N708">
        <v>0.25319072501030004</v>
      </c>
      <c r="R708">
        <v>0.25319072501030004</v>
      </c>
      <c r="S708">
        <v>0.25319072501030004</v>
      </c>
      <c r="T708" t="s">
        <v>687</v>
      </c>
    </row>
    <row r="709" spans="2:20" hidden="1">
      <c r="B709" t="s">
        <v>586</v>
      </c>
      <c r="C709">
        <v>92767480</v>
      </c>
      <c r="D709">
        <v>284912897</v>
      </c>
      <c r="E709">
        <v>651.20000000000005</v>
      </c>
      <c r="F709">
        <v>0</v>
      </c>
      <c r="G709">
        <v>4983416.37</v>
      </c>
      <c r="H709">
        <v>662.79</v>
      </c>
      <c r="I709">
        <v>11.59</v>
      </c>
      <c r="J709">
        <v>1.78E-2</v>
      </c>
      <c r="L709">
        <v>0.30063648691229999</v>
      </c>
      <c r="M709" t="s">
        <v>101</v>
      </c>
      <c r="N709">
        <v>0.30063648691229999</v>
      </c>
      <c r="R709">
        <v>0.30063648691229999</v>
      </c>
      <c r="S709">
        <v>0.30063648691229999</v>
      </c>
      <c r="T709" t="s">
        <v>687</v>
      </c>
    </row>
    <row r="710" spans="2:20" hidden="1">
      <c r="B710" t="s">
        <v>588</v>
      </c>
      <c r="C710">
        <v>14120374</v>
      </c>
      <c r="D710">
        <v>44416982</v>
      </c>
      <c r="E710">
        <v>635.80999999999995</v>
      </c>
      <c r="F710">
        <v>0</v>
      </c>
      <c r="G710">
        <v>0</v>
      </c>
      <c r="H710">
        <v>635.80999999999995</v>
      </c>
      <c r="I710">
        <v>0</v>
      </c>
      <c r="J710">
        <v>0</v>
      </c>
      <c r="L710">
        <v>0.28839856476969999</v>
      </c>
      <c r="M710" t="s">
        <v>101</v>
      </c>
      <c r="N710">
        <v>0.28839856476969999</v>
      </c>
      <c r="R710">
        <v>0.28839856476969999</v>
      </c>
      <c r="S710">
        <v>0.28839856476969999</v>
      </c>
      <c r="T710" t="s">
        <v>687</v>
      </c>
    </row>
    <row r="711" spans="2:20" hidden="1">
      <c r="B711" t="s">
        <v>590</v>
      </c>
      <c r="C711">
        <v>6938646</v>
      </c>
      <c r="D711">
        <v>11777168</v>
      </c>
      <c r="E711">
        <v>1178.32</v>
      </c>
      <c r="F711">
        <v>0</v>
      </c>
      <c r="G711">
        <v>0</v>
      </c>
      <c r="H711">
        <v>1178.32</v>
      </c>
      <c r="I711">
        <v>0</v>
      </c>
      <c r="J711">
        <v>0</v>
      </c>
      <c r="L711">
        <v>0.53447696141840007</v>
      </c>
      <c r="M711" t="s">
        <v>101</v>
      </c>
      <c r="N711">
        <v>0.53447696141840007</v>
      </c>
      <c r="R711">
        <v>0.53447696141840007</v>
      </c>
      <c r="S711">
        <v>0.53447696141840007</v>
      </c>
      <c r="T711" t="s">
        <v>687</v>
      </c>
    </row>
    <row r="712" spans="2:20" hidden="1">
      <c r="B712" t="s">
        <v>592</v>
      </c>
      <c r="C712">
        <v>12389521</v>
      </c>
      <c r="D712">
        <v>84093338</v>
      </c>
      <c r="E712">
        <v>294.66000000000003</v>
      </c>
      <c r="F712">
        <v>0</v>
      </c>
      <c r="G712">
        <v>11258</v>
      </c>
      <c r="H712">
        <v>294.7</v>
      </c>
      <c r="I712">
        <v>0.04</v>
      </c>
      <c r="J712">
        <v>1E-4</v>
      </c>
      <c r="L712">
        <v>0.133673671439</v>
      </c>
      <c r="M712" t="s">
        <v>101</v>
      </c>
      <c r="N712">
        <v>0.133673671439</v>
      </c>
      <c r="R712">
        <v>0.133673671439</v>
      </c>
      <c r="S712">
        <v>0.133673671439</v>
      </c>
      <c r="T712" t="s">
        <v>687</v>
      </c>
    </row>
    <row r="713" spans="2:20" hidden="1">
      <c r="B713" t="s">
        <v>594</v>
      </c>
      <c r="C713">
        <v>107366532</v>
      </c>
      <c r="D713">
        <v>283222518</v>
      </c>
      <c r="E713">
        <v>758.18</v>
      </c>
      <c r="F713">
        <v>0</v>
      </c>
      <c r="G713">
        <v>103544</v>
      </c>
      <c r="H713">
        <v>758.46</v>
      </c>
      <c r="I713">
        <v>0.28000000000000003</v>
      </c>
      <c r="J713">
        <v>4.0000000000000002E-4</v>
      </c>
      <c r="L713">
        <v>0.34403166895019999</v>
      </c>
      <c r="M713" t="s">
        <v>101</v>
      </c>
      <c r="N713">
        <v>0.34403166895019999</v>
      </c>
      <c r="R713">
        <v>0.34403166895019999</v>
      </c>
      <c r="S713">
        <v>0.34403166895019999</v>
      </c>
      <c r="T713" t="s">
        <v>687</v>
      </c>
    </row>
    <row r="714" spans="2:20" hidden="1">
      <c r="B714" t="s">
        <v>596</v>
      </c>
      <c r="C714">
        <v>58721434</v>
      </c>
      <c r="D714">
        <v>92326063</v>
      </c>
      <c r="E714">
        <v>1272.05</v>
      </c>
      <c r="F714">
        <v>0</v>
      </c>
      <c r="G714">
        <v>54795.65</v>
      </c>
      <c r="H714">
        <v>1272.8</v>
      </c>
      <c r="I714">
        <v>0.75</v>
      </c>
      <c r="J714">
        <v>5.9999999999999995E-4</v>
      </c>
      <c r="L714">
        <v>0.57733236853600001</v>
      </c>
      <c r="M714" t="s">
        <v>101</v>
      </c>
      <c r="N714">
        <v>0.57733236853600001</v>
      </c>
      <c r="R714">
        <v>0.57733236853600001</v>
      </c>
      <c r="S714">
        <v>0.57733236853600001</v>
      </c>
      <c r="T714" t="s">
        <v>687</v>
      </c>
    </row>
    <row r="715" spans="2:20" hidden="1">
      <c r="B715" t="s">
        <v>598</v>
      </c>
      <c r="C715">
        <v>331687821</v>
      </c>
      <c r="D715">
        <v>533500666</v>
      </c>
      <c r="E715">
        <v>1243.44</v>
      </c>
      <c r="F715">
        <v>0</v>
      </c>
      <c r="G715">
        <v>223173.59</v>
      </c>
      <c r="H715">
        <v>1243.96</v>
      </c>
      <c r="I715">
        <v>0.52</v>
      </c>
      <c r="J715">
        <v>4.0000000000000002E-4</v>
      </c>
      <c r="L715">
        <v>0.56425076458520007</v>
      </c>
      <c r="M715" t="s">
        <v>101</v>
      </c>
      <c r="N715">
        <v>0.56425076458520007</v>
      </c>
      <c r="R715">
        <v>0.56425076458520007</v>
      </c>
      <c r="S715">
        <v>0.56425076458520007</v>
      </c>
      <c r="T715" t="s">
        <v>687</v>
      </c>
    </row>
    <row r="716" spans="2:20" hidden="1">
      <c r="B716" t="s">
        <v>600</v>
      </c>
      <c r="C716">
        <v>43708530</v>
      </c>
      <c r="D716">
        <v>63912177</v>
      </c>
      <c r="E716">
        <v>1367.77</v>
      </c>
      <c r="F716">
        <v>0</v>
      </c>
      <c r="G716">
        <v>535845</v>
      </c>
      <c r="H716">
        <v>1379.33</v>
      </c>
      <c r="I716">
        <v>11.56</v>
      </c>
      <c r="J716">
        <v>8.5000000000000006E-3</v>
      </c>
      <c r="L716">
        <v>0.62565356371210001</v>
      </c>
      <c r="M716" t="s">
        <v>101</v>
      </c>
      <c r="N716">
        <v>0.62565356371210001</v>
      </c>
      <c r="R716">
        <v>0.62565356371210001</v>
      </c>
      <c r="S716">
        <v>0.62565356371210001</v>
      </c>
      <c r="T716" t="s">
        <v>687</v>
      </c>
    </row>
    <row r="717" spans="2:20" hidden="1">
      <c r="B717" t="s">
        <v>602</v>
      </c>
      <c r="C717">
        <v>47131234</v>
      </c>
      <c r="D717">
        <v>66741590</v>
      </c>
      <c r="E717">
        <v>1412.35</v>
      </c>
      <c r="F717">
        <v>0</v>
      </c>
      <c r="G717">
        <v>4492217</v>
      </c>
      <c r="H717">
        <v>1514.27</v>
      </c>
      <c r="I717">
        <v>101.92</v>
      </c>
      <c r="J717">
        <v>7.22E-2</v>
      </c>
      <c r="L717">
        <v>0.68686131811990003</v>
      </c>
      <c r="M717" t="s">
        <v>101</v>
      </c>
      <c r="N717">
        <v>0.68686131811990003</v>
      </c>
      <c r="R717">
        <v>0.68686131811990003</v>
      </c>
      <c r="S717">
        <v>0.68686131811990003</v>
      </c>
      <c r="T717" t="s">
        <v>687</v>
      </c>
    </row>
    <row r="718" spans="2:20" hidden="1">
      <c r="B718" t="s">
        <v>604</v>
      </c>
      <c r="C718">
        <v>97856947</v>
      </c>
      <c r="D718">
        <v>156780737</v>
      </c>
      <c r="E718">
        <v>1248.33</v>
      </c>
      <c r="F718">
        <v>0</v>
      </c>
      <c r="G718">
        <v>18459503.649999999</v>
      </c>
      <c r="H718">
        <v>1414.92</v>
      </c>
      <c r="I718">
        <v>166.59</v>
      </c>
      <c r="J718">
        <v>0.13350000000000001</v>
      </c>
      <c r="L718">
        <v>0.64179691616040013</v>
      </c>
      <c r="M718" t="s">
        <v>101</v>
      </c>
      <c r="N718">
        <v>0.64179691616040013</v>
      </c>
      <c r="R718">
        <v>0.64179691616040013</v>
      </c>
      <c r="S718">
        <v>0.64179691616040013</v>
      </c>
      <c r="T718" t="s">
        <v>687</v>
      </c>
    </row>
    <row r="719" spans="2:20" hidden="1">
      <c r="B719" t="s">
        <v>606</v>
      </c>
      <c r="C719">
        <v>72295071</v>
      </c>
      <c r="D719">
        <v>172359088</v>
      </c>
      <c r="E719">
        <v>838.89</v>
      </c>
      <c r="F719">
        <v>0</v>
      </c>
      <c r="G719">
        <v>256089</v>
      </c>
      <c r="H719">
        <v>840.14</v>
      </c>
      <c r="I719">
        <v>1.25</v>
      </c>
      <c r="J719">
        <v>1.5E-3</v>
      </c>
      <c r="L719">
        <v>0.38108109373180005</v>
      </c>
      <c r="M719" t="s">
        <v>101</v>
      </c>
      <c r="N719">
        <v>0.38108109373180005</v>
      </c>
      <c r="R719">
        <v>0.38108109373180005</v>
      </c>
      <c r="S719">
        <v>0.38108109373180005</v>
      </c>
      <c r="T719" t="s">
        <v>687</v>
      </c>
    </row>
    <row r="720" spans="2:20" hidden="1">
      <c r="B720" t="s">
        <v>608</v>
      </c>
      <c r="C720">
        <v>97799014</v>
      </c>
      <c r="D720">
        <v>121294301</v>
      </c>
      <c r="E720">
        <v>1612.59</v>
      </c>
      <c r="F720">
        <v>0</v>
      </c>
      <c r="G720">
        <v>1266223</v>
      </c>
      <c r="H720">
        <v>1629.6</v>
      </c>
      <c r="I720">
        <v>17.010000000000002</v>
      </c>
      <c r="J720">
        <v>1.0500000000000001E-2</v>
      </c>
      <c r="L720">
        <v>0.73917412615199996</v>
      </c>
      <c r="M720" t="s">
        <v>101</v>
      </c>
      <c r="N720">
        <v>0.73917412615199996</v>
      </c>
      <c r="R720">
        <v>0.73917412615199996</v>
      </c>
      <c r="S720">
        <v>0.73917412615199996</v>
      </c>
      <c r="T720" t="s">
        <v>687</v>
      </c>
    </row>
    <row r="721" spans="2:20" hidden="1">
      <c r="B721" t="s">
        <v>610</v>
      </c>
      <c r="C721">
        <v>144103497</v>
      </c>
      <c r="D721">
        <v>264562049</v>
      </c>
      <c r="E721">
        <v>1089.3699999999999</v>
      </c>
      <c r="F721">
        <v>0</v>
      </c>
      <c r="G721">
        <v>1279318.6499999999</v>
      </c>
      <c r="H721">
        <v>1094.67</v>
      </c>
      <c r="I721">
        <v>5.29</v>
      </c>
      <c r="J721">
        <v>4.8999999999999998E-3</v>
      </c>
      <c r="L721">
        <v>0.49653395966790004</v>
      </c>
      <c r="M721" t="s">
        <v>101</v>
      </c>
      <c r="N721">
        <v>0.49653395966790004</v>
      </c>
      <c r="R721">
        <v>0.49653395966790004</v>
      </c>
      <c r="S721">
        <v>0.49653395966790004</v>
      </c>
      <c r="T721" t="s">
        <v>687</v>
      </c>
    </row>
    <row r="722" spans="2:20" hidden="1">
      <c r="B722" t="s">
        <v>612</v>
      </c>
      <c r="C722">
        <v>131708174</v>
      </c>
      <c r="D722">
        <v>222211053</v>
      </c>
      <c r="E722">
        <v>1185.43</v>
      </c>
      <c r="F722">
        <v>0</v>
      </c>
      <c r="G722">
        <v>84075.25</v>
      </c>
      <c r="H722">
        <v>1185.8800000000001</v>
      </c>
      <c r="I722">
        <v>0.45</v>
      </c>
      <c r="J722">
        <v>4.0000000000000002E-4</v>
      </c>
      <c r="L722">
        <v>0.5379061197356001</v>
      </c>
      <c r="M722" t="s">
        <v>101</v>
      </c>
      <c r="N722">
        <v>0.5379061197356001</v>
      </c>
      <c r="R722">
        <v>0.5379061197356001</v>
      </c>
      <c r="S722">
        <v>0.5379061197356001</v>
      </c>
      <c r="T722" t="s">
        <v>687</v>
      </c>
    </row>
    <row r="723" spans="2:20" hidden="1">
      <c r="B723" t="s">
        <v>614</v>
      </c>
      <c r="C723">
        <v>130555268</v>
      </c>
      <c r="D723">
        <v>324246074</v>
      </c>
      <c r="E723">
        <v>805.29</v>
      </c>
      <c r="F723">
        <v>0</v>
      </c>
      <c r="G723">
        <v>821426.4</v>
      </c>
      <c r="H723">
        <v>807.33</v>
      </c>
      <c r="I723">
        <v>2.0499999999999998</v>
      </c>
      <c r="J723">
        <v>2.5000000000000001E-3</v>
      </c>
      <c r="L723">
        <v>0.36619872807210002</v>
      </c>
      <c r="M723" t="s">
        <v>101</v>
      </c>
      <c r="N723">
        <v>0.36619872807210002</v>
      </c>
      <c r="R723">
        <v>0.36619872807210002</v>
      </c>
      <c r="S723">
        <v>0.36619872807210002</v>
      </c>
      <c r="T723" t="s">
        <v>687</v>
      </c>
    </row>
    <row r="724" spans="2:20" hidden="1">
      <c r="B724" t="s">
        <v>688</v>
      </c>
      <c r="C724">
        <v>2034489332</v>
      </c>
      <c r="D724">
        <v>4075322641</v>
      </c>
      <c r="E724">
        <v>998.44331907953097</v>
      </c>
      <c r="G724">
        <v>66201203.289999999</v>
      </c>
      <c r="H724">
        <v>1014.9302602128683</v>
      </c>
      <c r="I724">
        <v>16.486941133337382</v>
      </c>
      <c r="J724">
        <v>1.6512646054396729E-2</v>
      </c>
      <c r="L724">
        <v>0.46036462211467172</v>
      </c>
      <c r="M724" t="s">
        <v>101</v>
      </c>
      <c r="N724">
        <v>0.46036462211467172</v>
      </c>
      <c r="R724">
        <v>0.46036462211467172</v>
      </c>
      <c r="S724">
        <v>0.46036462211467172</v>
      </c>
      <c r="T724" t="s">
        <v>687</v>
      </c>
    </row>
    <row r="725" spans="2:20" hidden="1">
      <c r="M725" t="s">
        <v>101</v>
      </c>
      <c r="R725">
        <v>0</v>
      </c>
      <c r="S725">
        <v>0</v>
      </c>
    </row>
    <row r="726" spans="2:20" hidden="1">
      <c r="M726" t="s">
        <v>101</v>
      </c>
      <c r="R726">
        <v>0</v>
      </c>
      <c r="S726">
        <v>0</v>
      </c>
    </row>
    <row r="727" spans="2:20" hidden="1">
      <c r="B727" t="s">
        <v>689</v>
      </c>
      <c r="M727" t="s">
        <v>101</v>
      </c>
      <c r="R727">
        <v>0</v>
      </c>
      <c r="S727">
        <v>0</v>
      </c>
    </row>
    <row r="728" spans="2:20" hidden="1">
      <c r="B728" t="s">
        <v>687</v>
      </c>
      <c r="M728" t="s">
        <v>101</v>
      </c>
      <c r="R728">
        <v>0</v>
      </c>
      <c r="S728">
        <v>0</v>
      </c>
    </row>
    <row r="729" spans="2:20" hidden="1">
      <c r="B729">
        <v>2018</v>
      </c>
      <c r="C729" t="s">
        <v>690</v>
      </c>
      <c r="M729" t="s">
        <v>101</v>
      </c>
      <c r="R729">
        <v>0</v>
      </c>
      <c r="S729">
        <v>0</v>
      </c>
    </row>
    <row r="730" spans="2:20" hidden="1">
      <c r="B730">
        <v>2016</v>
      </c>
      <c r="C730" t="s">
        <v>691</v>
      </c>
      <c r="M730" t="s">
        <v>101</v>
      </c>
      <c r="R730">
        <v>0</v>
      </c>
      <c r="S730">
        <v>0</v>
      </c>
    </row>
    <row r="731" spans="2:20" hidden="1">
      <c r="M731" t="s">
        <v>101</v>
      </c>
      <c r="R731">
        <v>0</v>
      </c>
      <c r="S731">
        <v>0</v>
      </c>
    </row>
    <row r="732" spans="2:20" hidden="1">
      <c r="M732" t="s">
        <v>101</v>
      </c>
      <c r="R732">
        <v>0</v>
      </c>
      <c r="S732">
        <v>0</v>
      </c>
    </row>
    <row r="733" spans="2:20" hidden="1">
      <c r="C733" t="s">
        <v>692</v>
      </c>
      <c r="M733" t="s">
        <v>101</v>
      </c>
      <c r="R733">
        <v>0</v>
      </c>
      <c r="S733">
        <v>0</v>
      </c>
    </row>
    <row r="734" spans="2:20" hidden="1">
      <c r="C734" t="s">
        <v>693</v>
      </c>
      <c r="M734" t="s">
        <v>101</v>
      </c>
      <c r="R734">
        <v>0</v>
      </c>
      <c r="S734">
        <v>0</v>
      </c>
    </row>
    <row r="735" spans="2:20" hidden="1">
      <c r="M735" t="s">
        <v>101</v>
      </c>
      <c r="R735">
        <v>0</v>
      </c>
      <c r="S735">
        <v>0</v>
      </c>
    </row>
    <row r="736" spans="2:20" hidden="1">
      <c r="C736" t="s">
        <v>694</v>
      </c>
      <c r="D736" t="s">
        <v>695</v>
      </c>
      <c r="L736" t="s">
        <v>560</v>
      </c>
      <c r="M736" t="s">
        <v>101</v>
      </c>
      <c r="N736" t="s">
        <v>560</v>
      </c>
      <c r="R736" t="s">
        <v>551</v>
      </c>
      <c r="S736" t="s">
        <v>552</v>
      </c>
    </row>
    <row r="737" spans="2:20" hidden="1">
      <c r="B737" t="s">
        <v>696</v>
      </c>
      <c r="C737" t="s">
        <v>697</v>
      </c>
      <c r="D737">
        <v>528.99</v>
      </c>
      <c r="L737">
        <v>0.2399458278063</v>
      </c>
      <c r="M737" t="s">
        <v>101</v>
      </c>
      <c r="N737">
        <v>0.2399458278063</v>
      </c>
      <c r="R737">
        <v>0.2399458278063</v>
      </c>
      <c r="S737">
        <v>0.2399458278063</v>
      </c>
    </row>
    <row r="738" spans="2:20" hidden="1">
      <c r="B738" t="s">
        <v>698</v>
      </c>
      <c r="C738" t="s">
        <v>699</v>
      </c>
      <c r="D738">
        <v>99.35</v>
      </c>
      <c r="L738">
        <v>4.5064401959500004E-2</v>
      </c>
      <c r="M738" t="s">
        <v>101</v>
      </c>
      <c r="N738">
        <v>4.5064401959500004E-2</v>
      </c>
      <c r="R738">
        <v>4.5064401959500004E-2</v>
      </c>
      <c r="S738">
        <v>4.5064401959500004E-2</v>
      </c>
    </row>
    <row r="739" spans="2:20" hidden="1">
      <c r="B739" t="s">
        <v>700</v>
      </c>
      <c r="C739" t="s">
        <v>701</v>
      </c>
      <c r="D739">
        <v>841.71</v>
      </c>
      <c r="L739">
        <v>0.38179323375270002</v>
      </c>
      <c r="M739" t="s">
        <v>101</v>
      </c>
      <c r="N739">
        <v>0.38179323375270002</v>
      </c>
      <c r="R739">
        <v>0.38179323375270002</v>
      </c>
      <c r="S739">
        <v>0.38179323375270002</v>
      </c>
    </row>
    <row r="740" spans="2:20" hidden="1">
      <c r="M740" t="s">
        <v>101</v>
      </c>
      <c r="R740">
        <v>0</v>
      </c>
      <c r="S740">
        <v>0</v>
      </c>
    </row>
    <row r="741" spans="2:20" hidden="1">
      <c r="M741" t="s">
        <v>101</v>
      </c>
      <c r="R741">
        <v>0</v>
      </c>
      <c r="S741">
        <v>0</v>
      </c>
    </row>
    <row r="742" spans="2:20" hidden="1">
      <c r="M742" t="s">
        <v>101</v>
      </c>
      <c r="R742">
        <v>0</v>
      </c>
      <c r="S742">
        <v>0</v>
      </c>
    </row>
    <row r="743" spans="2:20" hidden="1">
      <c r="C743" t="s">
        <v>702</v>
      </c>
      <c r="M743" t="s">
        <v>101</v>
      </c>
      <c r="R743">
        <v>0</v>
      </c>
      <c r="S743">
        <v>0</v>
      </c>
    </row>
    <row r="744" spans="2:20" hidden="1">
      <c r="B744" t="s">
        <v>641</v>
      </c>
      <c r="C744" t="s">
        <v>640</v>
      </c>
      <c r="D744" t="s">
        <v>698</v>
      </c>
      <c r="L744">
        <v>4.5064401959500004E-2</v>
      </c>
      <c r="M744" t="s">
        <v>101</v>
      </c>
      <c r="N744">
        <v>4.5064401959500004E-2</v>
      </c>
      <c r="R744">
        <v>4.5064401959500004E-2</v>
      </c>
      <c r="S744">
        <v>4.5064401959500004E-2</v>
      </c>
      <c r="T744" t="s">
        <v>687</v>
      </c>
    </row>
    <row r="745" spans="2:20" hidden="1">
      <c r="B745" t="s">
        <v>649</v>
      </c>
      <c r="C745" t="s">
        <v>703</v>
      </c>
      <c r="D745" t="s">
        <v>698</v>
      </c>
      <c r="L745">
        <v>4.5064401959500004E-2</v>
      </c>
      <c r="M745" t="s">
        <v>101</v>
      </c>
      <c r="N745">
        <v>4.5064401959500004E-2</v>
      </c>
      <c r="R745">
        <v>4.5064401959500004E-2</v>
      </c>
      <c r="S745">
        <v>4.5064401959500004E-2</v>
      </c>
      <c r="T745" t="s">
        <v>687</v>
      </c>
    </row>
    <row r="746" spans="2:20" hidden="1">
      <c r="B746" t="s">
        <v>66</v>
      </c>
      <c r="C746" t="s">
        <v>704</v>
      </c>
      <c r="D746" t="s">
        <v>698</v>
      </c>
      <c r="L746">
        <v>4.5064401959500004E-2</v>
      </c>
      <c r="M746" t="s">
        <v>101</v>
      </c>
      <c r="N746">
        <v>4.5064401959500004E-2</v>
      </c>
      <c r="R746">
        <v>4.5064401959500004E-2</v>
      </c>
      <c r="S746">
        <v>4.5064401959500004E-2</v>
      </c>
      <c r="T746" t="s">
        <v>687</v>
      </c>
    </row>
    <row r="747" spans="2:20" hidden="1">
      <c r="B747" t="s">
        <v>652</v>
      </c>
      <c r="C747" t="s">
        <v>705</v>
      </c>
      <c r="D747" t="s">
        <v>696</v>
      </c>
      <c r="L747">
        <v>0.2399458278063</v>
      </c>
      <c r="M747" t="s">
        <v>101</v>
      </c>
      <c r="N747">
        <v>0.2399458278063</v>
      </c>
      <c r="R747">
        <v>0.2399458278063</v>
      </c>
      <c r="S747">
        <v>0.2399458278063</v>
      </c>
      <c r="T747" t="s">
        <v>687</v>
      </c>
    </row>
    <row r="748" spans="2:20" hidden="1">
      <c r="B748" t="s">
        <v>654</v>
      </c>
      <c r="C748" t="s">
        <v>706</v>
      </c>
      <c r="D748" t="s">
        <v>696</v>
      </c>
      <c r="L748">
        <v>0.2399458278063</v>
      </c>
      <c r="M748" t="s">
        <v>101</v>
      </c>
      <c r="N748">
        <v>0.2399458278063</v>
      </c>
      <c r="R748">
        <v>0.2399458278063</v>
      </c>
      <c r="S748">
        <v>0.2399458278063</v>
      </c>
      <c r="T748" t="s">
        <v>687</v>
      </c>
    </row>
    <row r="749" spans="2:20" hidden="1">
      <c r="B749" t="s">
        <v>656</v>
      </c>
      <c r="C749" t="s">
        <v>707</v>
      </c>
      <c r="D749" t="s">
        <v>700</v>
      </c>
      <c r="L749">
        <v>0.38179323375270002</v>
      </c>
      <c r="M749" t="s">
        <v>101</v>
      </c>
      <c r="N749">
        <v>0.38179323375270002</v>
      </c>
      <c r="R749">
        <v>0.38179323375270002</v>
      </c>
      <c r="S749">
        <v>0.38179323375270002</v>
      </c>
      <c r="T749" t="s">
        <v>687</v>
      </c>
    </row>
    <row r="750" spans="2:20" hidden="1">
      <c r="B750" t="s">
        <v>658</v>
      </c>
      <c r="C750" t="s">
        <v>657</v>
      </c>
      <c r="D750" t="s">
        <v>700</v>
      </c>
      <c r="L750">
        <v>0.38179323375270002</v>
      </c>
      <c r="M750" t="s">
        <v>101</v>
      </c>
      <c r="N750">
        <v>0.38179323375270002</v>
      </c>
      <c r="R750">
        <v>0.38179323375270002</v>
      </c>
      <c r="S750">
        <v>0.38179323375270002</v>
      </c>
      <c r="T750" t="s">
        <v>687</v>
      </c>
    </row>
    <row r="751" spans="2:20" hidden="1">
      <c r="C751" t="s">
        <v>708</v>
      </c>
      <c r="M751" t="s">
        <v>101</v>
      </c>
      <c r="R751">
        <v>0</v>
      </c>
      <c r="S751">
        <v>0</v>
      </c>
    </row>
    <row r="752" spans="2:20" hidden="1">
      <c r="M752" t="s">
        <v>101</v>
      </c>
      <c r="R752">
        <v>0</v>
      </c>
      <c r="S752">
        <v>0</v>
      </c>
    </row>
    <row r="753" spans="2:20" hidden="1">
      <c r="M753" t="s">
        <v>101</v>
      </c>
      <c r="R753">
        <v>0</v>
      </c>
      <c r="S753">
        <v>0</v>
      </c>
    </row>
    <row r="754" spans="2:20" hidden="1">
      <c r="M754" t="s">
        <v>101</v>
      </c>
      <c r="R754">
        <v>0</v>
      </c>
      <c r="S754">
        <v>0</v>
      </c>
    </row>
    <row r="755" spans="2:20" hidden="1">
      <c r="B755" t="s">
        <v>709</v>
      </c>
      <c r="G755" t="s">
        <v>710</v>
      </c>
      <c r="H755" t="s">
        <v>711</v>
      </c>
      <c r="I755" t="s">
        <v>712</v>
      </c>
      <c r="J755" t="s">
        <v>713</v>
      </c>
      <c r="K755" t="s">
        <v>714</v>
      </c>
      <c r="M755" t="s">
        <v>101</v>
      </c>
      <c r="R755">
        <v>0</v>
      </c>
      <c r="S755">
        <v>0</v>
      </c>
    </row>
    <row r="756" spans="2:20" hidden="1">
      <c r="C756" t="s">
        <v>715</v>
      </c>
      <c r="E756">
        <v>2012</v>
      </c>
      <c r="F756">
        <v>2013</v>
      </c>
      <c r="G756">
        <v>2014</v>
      </c>
      <c r="H756">
        <v>2015</v>
      </c>
      <c r="I756">
        <v>2016</v>
      </c>
      <c r="J756">
        <v>2017</v>
      </c>
      <c r="L756">
        <v>2018</v>
      </c>
      <c r="M756" t="s">
        <v>101</v>
      </c>
      <c r="N756">
        <v>2018</v>
      </c>
      <c r="R756">
        <v>2018</v>
      </c>
      <c r="S756">
        <v>2018</v>
      </c>
    </row>
    <row r="757" spans="2:20" hidden="1">
      <c r="E757" t="s">
        <v>715</v>
      </c>
      <c r="F757" t="s">
        <v>715</v>
      </c>
      <c r="G757" t="s">
        <v>715</v>
      </c>
      <c r="H757" t="s">
        <v>715</v>
      </c>
      <c r="I757" t="s">
        <v>715</v>
      </c>
      <c r="J757" t="s">
        <v>715</v>
      </c>
      <c r="L757" t="s">
        <v>716</v>
      </c>
      <c r="M757" t="s">
        <v>101</v>
      </c>
      <c r="N757" t="s">
        <v>716</v>
      </c>
      <c r="R757" t="s">
        <v>551</v>
      </c>
      <c r="S757" t="s">
        <v>552</v>
      </c>
    </row>
    <row r="758" spans="2:20" hidden="1">
      <c r="D758" t="s">
        <v>717</v>
      </c>
      <c r="M758" t="s">
        <v>101</v>
      </c>
      <c r="R758">
        <v>0</v>
      </c>
      <c r="S758">
        <v>0</v>
      </c>
      <c r="T758" t="s">
        <v>718</v>
      </c>
    </row>
    <row r="759" spans="2:20" hidden="1">
      <c r="B759" t="s">
        <v>719</v>
      </c>
      <c r="C759" t="s">
        <v>720</v>
      </c>
      <c r="D759" t="s">
        <v>721</v>
      </c>
      <c r="E759">
        <v>0.22059999999999999</v>
      </c>
      <c r="F759">
        <v>0.18912000000000001</v>
      </c>
      <c r="G759">
        <v>0.52995999999999999</v>
      </c>
      <c r="H759">
        <v>0.19015000000000001</v>
      </c>
      <c r="I759">
        <v>0.54586999999999997</v>
      </c>
      <c r="J759">
        <v>0.54586999999999997</v>
      </c>
      <c r="L759">
        <v>0.54586999999999997</v>
      </c>
      <c r="M759" t="s">
        <v>101</v>
      </c>
      <c r="N759">
        <v>0.54586999999999997</v>
      </c>
      <c r="R759">
        <v>0.54586999999999997</v>
      </c>
      <c r="S759">
        <v>0.54586999999999997</v>
      </c>
      <c r="T759" t="s">
        <v>718</v>
      </c>
    </row>
    <row r="760" spans="2:20" hidden="1">
      <c r="B760" t="s">
        <v>722</v>
      </c>
      <c r="C760" t="s">
        <v>723</v>
      </c>
      <c r="D760" t="s">
        <v>724</v>
      </c>
      <c r="E760">
        <v>0.14709999999999998</v>
      </c>
      <c r="F760">
        <v>0.11778</v>
      </c>
      <c r="G760">
        <v>0.33402999999999999</v>
      </c>
      <c r="H760">
        <v>0.43381000000000003</v>
      </c>
      <c r="I760">
        <v>0.1988</v>
      </c>
      <c r="J760">
        <v>0.12276000000000001</v>
      </c>
      <c r="L760">
        <v>0.18906000000000001</v>
      </c>
      <c r="M760" t="s">
        <v>101</v>
      </c>
      <c r="N760">
        <v>0.18906000000000001</v>
      </c>
      <c r="R760">
        <v>0.18906000000000001</v>
      </c>
      <c r="S760">
        <v>0.18906000000000001</v>
      </c>
      <c r="T760" t="s">
        <v>718</v>
      </c>
    </row>
    <row r="761" spans="2:20" hidden="1">
      <c r="B761" t="s">
        <v>725</v>
      </c>
      <c r="C761" t="s">
        <v>726</v>
      </c>
      <c r="D761" t="s">
        <v>727</v>
      </c>
      <c r="E761">
        <v>0.55120000000000002</v>
      </c>
      <c r="F761">
        <v>0.50923000000000007</v>
      </c>
      <c r="G761">
        <v>0.50332999999999994</v>
      </c>
      <c r="H761">
        <v>0.51066</v>
      </c>
      <c r="I761">
        <v>0.48159999999999997</v>
      </c>
      <c r="J761">
        <v>0.51354999999999995</v>
      </c>
      <c r="L761">
        <v>0.49542999999999998</v>
      </c>
      <c r="M761" t="s">
        <v>101</v>
      </c>
      <c r="N761">
        <v>0.49542999999999998</v>
      </c>
      <c r="R761">
        <v>0.49542999999999998</v>
      </c>
      <c r="S761">
        <v>0.49542999999999998</v>
      </c>
      <c r="T761" t="s">
        <v>718</v>
      </c>
    </row>
    <row r="762" spans="2:20" hidden="1">
      <c r="B762" t="s">
        <v>728</v>
      </c>
      <c r="C762" t="s">
        <v>729</v>
      </c>
      <c r="D762" t="s">
        <v>730</v>
      </c>
      <c r="E762">
        <v>0.38830000000000003</v>
      </c>
      <c r="F762">
        <v>0.30962000000000001</v>
      </c>
      <c r="G762">
        <v>0.30272000000000004</v>
      </c>
      <c r="H762">
        <v>0.47461000000000003</v>
      </c>
      <c r="I762">
        <v>0.48054000000000002</v>
      </c>
      <c r="J762">
        <v>0.41325000000000001</v>
      </c>
      <c r="L762">
        <v>0.56167999999999996</v>
      </c>
      <c r="M762" t="s">
        <v>101</v>
      </c>
      <c r="N762">
        <v>0.56167999999999996</v>
      </c>
      <c r="R762">
        <v>0.56167999999999996</v>
      </c>
      <c r="S762">
        <v>0.56167999999999996</v>
      </c>
      <c r="T762" t="s">
        <v>718</v>
      </c>
    </row>
    <row r="763" spans="2:20" hidden="1">
      <c r="B763" t="s">
        <v>731</v>
      </c>
      <c r="C763" t="s">
        <v>732</v>
      </c>
      <c r="D763" t="s">
        <v>733</v>
      </c>
      <c r="E763" t="e">
        <v>#N/A</v>
      </c>
      <c r="F763">
        <v>0.86988999999999994</v>
      </c>
      <c r="G763">
        <v>0.77198999999999995</v>
      </c>
      <c r="H763">
        <v>0.71184999999999998</v>
      </c>
      <c r="I763">
        <v>0.71235000000000004</v>
      </c>
      <c r="J763">
        <v>0.63745000000000007</v>
      </c>
      <c r="L763">
        <v>0.77021000000000006</v>
      </c>
      <c r="M763" t="s">
        <v>101</v>
      </c>
      <c r="N763">
        <v>0.77021000000000006</v>
      </c>
      <c r="R763">
        <v>0.77021000000000006</v>
      </c>
      <c r="S763">
        <v>0.77021000000000006</v>
      </c>
      <c r="T763" t="s">
        <v>718</v>
      </c>
    </row>
    <row r="764" spans="2:20" hidden="1">
      <c r="B764" t="s">
        <v>734</v>
      </c>
      <c r="C764" t="s">
        <v>735</v>
      </c>
      <c r="D764" t="s">
        <v>736</v>
      </c>
      <c r="E764">
        <v>0.40100000000000002</v>
      </c>
      <c r="F764">
        <v>0.54735</v>
      </c>
      <c r="G764">
        <v>0.56159000000000003</v>
      </c>
      <c r="H764">
        <v>0.58238000000000001</v>
      </c>
      <c r="I764">
        <v>0.61985999999999997</v>
      </c>
      <c r="J764">
        <v>0.61438000000000004</v>
      </c>
      <c r="L764">
        <v>0.61229999999999996</v>
      </c>
      <c r="M764" t="s">
        <v>101</v>
      </c>
      <c r="N764">
        <v>0.61229999999999996</v>
      </c>
      <c r="R764">
        <v>0.61229999999999996</v>
      </c>
      <c r="S764">
        <v>0.61229999999999996</v>
      </c>
      <c r="T764" t="s">
        <v>718</v>
      </c>
    </row>
    <row r="765" spans="2:20" hidden="1">
      <c r="B765" t="s">
        <v>737</v>
      </c>
      <c r="C765" t="s">
        <v>738</v>
      </c>
      <c r="D765" t="s">
        <v>739</v>
      </c>
      <c r="E765">
        <v>0.48710000000000003</v>
      </c>
      <c r="F765">
        <v>0.63497999999999999</v>
      </c>
      <c r="G765">
        <v>0.56357000000000002</v>
      </c>
      <c r="H765">
        <v>0.52366000000000001</v>
      </c>
      <c r="I765">
        <v>0.57282999999999995</v>
      </c>
      <c r="J765">
        <v>0.50502999999999998</v>
      </c>
      <c r="L765">
        <v>0.50936999999999999</v>
      </c>
      <c r="M765" t="s">
        <v>101</v>
      </c>
      <c r="N765">
        <v>0.50936999999999999</v>
      </c>
      <c r="R765">
        <v>0.50936999999999999</v>
      </c>
      <c r="S765">
        <v>0.50936999999999999</v>
      </c>
      <c r="T765" t="s">
        <v>718</v>
      </c>
    </row>
    <row r="766" spans="2:20" hidden="1">
      <c r="B766" t="s">
        <v>740</v>
      </c>
      <c r="C766" t="s">
        <v>741</v>
      </c>
      <c r="D766" t="s">
        <v>742</v>
      </c>
      <c r="E766">
        <v>1.0710999999999999</v>
      </c>
      <c r="F766">
        <v>1.1422399999999999</v>
      </c>
      <c r="G766">
        <v>0.93389999999999995</v>
      </c>
      <c r="H766">
        <v>0.87836999999999998</v>
      </c>
      <c r="I766">
        <v>1.02641</v>
      </c>
      <c r="J766">
        <v>1.0422499999999999</v>
      </c>
      <c r="L766">
        <v>1.0432900000000001</v>
      </c>
      <c r="M766" t="s">
        <v>101</v>
      </c>
      <c r="N766">
        <v>1.0432900000000001</v>
      </c>
      <c r="R766">
        <v>1.0432900000000001</v>
      </c>
      <c r="S766">
        <v>1.0432900000000001</v>
      </c>
      <c r="T766" t="s">
        <v>718</v>
      </c>
    </row>
    <row r="767" spans="2:20" hidden="1">
      <c r="B767" t="s">
        <v>743</v>
      </c>
      <c r="C767" t="s">
        <v>744</v>
      </c>
      <c r="D767" t="s">
        <v>745</v>
      </c>
      <c r="E767">
        <v>0.32200000000000001</v>
      </c>
      <c r="F767">
        <v>0.41743999999999998</v>
      </c>
      <c r="G767">
        <v>0.30675000000000002</v>
      </c>
      <c r="H767">
        <v>0.29981000000000002</v>
      </c>
      <c r="I767">
        <v>0.31572</v>
      </c>
      <c r="J767">
        <v>0.34870000000000001</v>
      </c>
      <c r="L767">
        <v>0.30163999999999996</v>
      </c>
      <c r="M767" t="s">
        <v>101</v>
      </c>
      <c r="N767">
        <v>0.30163999999999996</v>
      </c>
      <c r="R767">
        <v>0.30163999999999996</v>
      </c>
      <c r="S767">
        <v>0.30163999999999996</v>
      </c>
      <c r="T767" t="s">
        <v>718</v>
      </c>
    </row>
    <row r="768" spans="2:20" hidden="1">
      <c r="B768" t="s">
        <v>746</v>
      </c>
      <c r="C768" t="s">
        <v>747</v>
      </c>
      <c r="D768" t="s">
        <v>748</v>
      </c>
      <c r="E768">
        <v>3.73E-2</v>
      </c>
      <c r="F768">
        <v>6.3630000000000006E-2</v>
      </c>
      <c r="G768">
        <v>3.2219999999999999E-2</v>
      </c>
      <c r="H768">
        <v>3.7399999999999996E-2</v>
      </c>
      <c r="I768">
        <v>4.6330000000000003E-2</v>
      </c>
      <c r="J768">
        <v>5.7340000000000002E-2</v>
      </c>
      <c r="L768">
        <v>5.3200000000000004E-2</v>
      </c>
      <c r="M768" t="s">
        <v>101</v>
      </c>
      <c r="N768">
        <v>5.3200000000000004E-2</v>
      </c>
      <c r="R768">
        <v>5.3200000000000004E-2</v>
      </c>
      <c r="S768">
        <v>5.3200000000000004E-2</v>
      </c>
      <c r="T768" t="s">
        <v>718</v>
      </c>
    </row>
    <row r="769" spans="2:20" hidden="1">
      <c r="B769" t="s">
        <v>749</v>
      </c>
      <c r="C769" t="s">
        <v>750</v>
      </c>
      <c r="D769" t="s">
        <v>751</v>
      </c>
      <c r="E769">
        <v>0.73950000000000005</v>
      </c>
      <c r="F769">
        <v>0.78455999999999992</v>
      </c>
      <c r="G769">
        <v>0.76161000000000001</v>
      </c>
      <c r="H769">
        <v>0.75763999999999998</v>
      </c>
      <c r="I769">
        <v>0.72680999999999996</v>
      </c>
      <c r="J769">
        <v>0.73153000000000001</v>
      </c>
      <c r="L769">
        <v>0.72869000000000006</v>
      </c>
      <c r="M769" t="s">
        <v>101</v>
      </c>
      <c r="N769">
        <v>0.72869000000000006</v>
      </c>
      <c r="R769">
        <v>0.72869000000000006</v>
      </c>
      <c r="S769">
        <v>0.72869000000000006</v>
      </c>
      <c r="T769" t="s">
        <v>718</v>
      </c>
    </row>
    <row r="770" spans="2:20" hidden="1">
      <c r="B770" t="s">
        <v>752</v>
      </c>
      <c r="C770" t="s">
        <v>753</v>
      </c>
      <c r="D770" t="s">
        <v>754</v>
      </c>
      <c r="E770">
        <v>0.56340000000000001</v>
      </c>
      <c r="F770">
        <v>0.46905000000000002</v>
      </c>
      <c r="G770">
        <v>0.54205999999999999</v>
      </c>
      <c r="H770">
        <v>0.48283999999999999</v>
      </c>
      <c r="I770">
        <v>0.39052999999999999</v>
      </c>
      <c r="J770">
        <v>0.36651999999999996</v>
      </c>
      <c r="L770">
        <v>0.38095999999999997</v>
      </c>
      <c r="M770" t="s">
        <v>101</v>
      </c>
      <c r="N770">
        <v>0.38095999999999997</v>
      </c>
      <c r="R770">
        <v>0.38095999999999997</v>
      </c>
      <c r="S770">
        <v>0.38095999999999997</v>
      </c>
      <c r="T770" t="s">
        <v>718</v>
      </c>
    </row>
    <row r="771" spans="2:20" hidden="1">
      <c r="B771" t="s">
        <v>755</v>
      </c>
      <c r="C771" t="s">
        <v>756</v>
      </c>
      <c r="D771" t="s">
        <v>757</v>
      </c>
      <c r="E771">
        <v>0.94810000000000005</v>
      </c>
      <c r="F771">
        <v>0.89528999999999992</v>
      </c>
      <c r="G771">
        <v>0.75312000000000001</v>
      </c>
      <c r="H771">
        <v>0.68071000000000004</v>
      </c>
      <c r="I771">
        <v>0.58414999999999995</v>
      </c>
      <c r="J771">
        <v>0.62497000000000003</v>
      </c>
      <c r="L771">
        <v>0.69583000000000006</v>
      </c>
      <c r="M771" t="s">
        <v>101</v>
      </c>
      <c r="N771">
        <v>0.69583000000000006</v>
      </c>
      <c r="R771">
        <v>0.69583000000000006</v>
      </c>
      <c r="S771">
        <v>0.69583000000000006</v>
      </c>
      <c r="T771" t="s">
        <v>718</v>
      </c>
    </row>
    <row r="772" spans="2:20" hidden="1">
      <c r="B772" t="s">
        <v>758</v>
      </c>
      <c r="C772" t="s">
        <v>759</v>
      </c>
      <c r="D772" t="s">
        <v>760</v>
      </c>
      <c r="E772">
        <v>0.41249999999999998</v>
      </c>
      <c r="F772">
        <v>0.37462000000000001</v>
      </c>
      <c r="G772">
        <v>0.37626999999999999</v>
      </c>
      <c r="H772">
        <v>0.37567</v>
      </c>
      <c r="I772">
        <v>0.36870999999999998</v>
      </c>
      <c r="J772">
        <v>0.34139999999999998</v>
      </c>
      <c r="L772">
        <v>0.37898000000000004</v>
      </c>
      <c r="M772" t="s">
        <v>101</v>
      </c>
      <c r="N772">
        <v>0.37898000000000004</v>
      </c>
      <c r="R772">
        <v>0.37898000000000004</v>
      </c>
      <c r="S772">
        <v>0.37898000000000004</v>
      </c>
      <c r="T772" t="s">
        <v>718</v>
      </c>
    </row>
    <row r="773" spans="2:20" hidden="1">
      <c r="B773" t="s">
        <v>761</v>
      </c>
      <c r="C773" t="s">
        <v>762</v>
      </c>
      <c r="D773" t="s">
        <v>763</v>
      </c>
      <c r="E773">
        <v>0.2051</v>
      </c>
      <c r="F773">
        <v>0.36463000000000001</v>
      </c>
      <c r="G773">
        <v>0.31412000000000001</v>
      </c>
      <c r="H773">
        <v>0.16075</v>
      </c>
      <c r="I773">
        <v>0.46650000000000003</v>
      </c>
      <c r="J773">
        <v>0.49266000000000004</v>
      </c>
      <c r="L773">
        <v>0.48224</v>
      </c>
      <c r="M773" t="s">
        <v>101</v>
      </c>
      <c r="N773">
        <v>0.48224</v>
      </c>
      <c r="R773">
        <v>0.48224</v>
      </c>
      <c r="S773">
        <v>0.48224</v>
      </c>
      <c r="T773" t="s">
        <v>718</v>
      </c>
    </row>
    <row r="774" spans="2:20" hidden="1">
      <c r="B774" t="s">
        <v>764</v>
      </c>
      <c r="C774" t="s">
        <v>765</v>
      </c>
      <c r="D774" t="s">
        <v>766</v>
      </c>
      <c r="E774">
        <v>0.39910000000000001</v>
      </c>
      <c r="F774">
        <v>0.36013999999999996</v>
      </c>
      <c r="G774">
        <v>0.71687000000000001</v>
      </c>
      <c r="H774">
        <v>0.63900000000000001</v>
      </c>
      <c r="I774">
        <v>0.76107999999999998</v>
      </c>
      <c r="J774">
        <v>0.64057000000000008</v>
      </c>
      <c r="L774">
        <v>0.64034999999999997</v>
      </c>
      <c r="M774" t="s">
        <v>101</v>
      </c>
      <c r="N774">
        <v>0.64034999999999997</v>
      </c>
      <c r="R774">
        <v>0.64034999999999997</v>
      </c>
      <c r="S774">
        <v>0.64034999999999997</v>
      </c>
      <c r="T774" t="s">
        <v>718</v>
      </c>
    </row>
    <row r="775" spans="2:20" hidden="1">
      <c r="B775" t="s">
        <v>767</v>
      </c>
      <c r="C775" t="s">
        <v>768</v>
      </c>
      <c r="D775" t="s">
        <v>769</v>
      </c>
      <c r="E775">
        <v>0.39289999999999997</v>
      </c>
      <c r="F775">
        <v>0.51117000000000001</v>
      </c>
      <c r="G775">
        <v>0.42663000000000001</v>
      </c>
      <c r="H775">
        <v>0.43458999999999998</v>
      </c>
      <c r="I775">
        <v>0.46511000000000002</v>
      </c>
      <c r="J775">
        <v>0.47652999999999995</v>
      </c>
      <c r="L775">
        <v>0.48723</v>
      </c>
      <c r="M775" t="s">
        <v>101</v>
      </c>
      <c r="N775">
        <v>0.48723</v>
      </c>
      <c r="R775">
        <v>0.48723</v>
      </c>
      <c r="S775">
        <v>0.48723</v>
      </c>
      <c r="T775" t="s">
        <v>718</v>
      </c>
    </row>
    <row r="776" spans="2:20" hidden="1">
      <c r="B776" t="s">
        <v>770</v>
      </c>
      <c r="C776" t="s">
        <v>771</v>
      </c>
      <c r="D776" t="s">
        <v>772</v>
      </c>
      <c r="E776">
        <v>0.18840000000000001</v>
      </c>
      <c r="F776">
        <v>0.20243</v>
      </c>
      <c r="G776">
        <v>0.32462999999999997</v>
      </c>
      <c r="H776">
        <v>0.3332</v>
      </c>
      <c r="I776">
        <v>0.40250000000000002</v>
      </c>
      <c r="J776">
        <v>0.24384999999999998</v>
      </c>
      <c r="L776">
        <v>0.32275999999999999</v>
      </c>
      <c r="M776" t="s">
        <v>101</v>
      </c>
      <c r="N776">
        <v>0.32275999999999999</v>
      </c>
      <c r="R776">
        <v>0.32275999999999999</v>
      </c>
      <c r="S776">
        <v>0.32275999999999999</v>
      </c>
      <c r="T776" t="s">
        <v>718</v>
      </c>
    </row>
    <row r="777" spans="2:20" hidden="1">
      <c r="B777" t="s">
        <v>773</v>
      </c>
      <c r="C777" t="s">
        <v>774</v>
      </c>
      <c r="D777" t="s">
        <v>775</v>
      </c>
      <c r="E777">
        <v>0.4965</v>
      </c>
      <c r="F777">
        <v>0.49558999999999997</v>
      </c>
      <c r="G777">
        <v>0.48738999999999999</v>
      </c>
      <c r="H777">
        <v>0.47476000000000002</v>
      </c>
      <c r="I777">
        <v>0.43659999999999999</v>
      </c>
      <c r="J777">
        <v>0.70478999999999992</v>
      </c>
      <c r="L777">
        <v>0.38073000000000001</v>
      </c>
      <c r="M777" t="s">
        <v>101</v>
      </c>
      <c r="N777">
        <v>0.38073000000000001</v>
      </c>
      <c r="R777">
        <v>0.38073000000000001</v>
      </c>
      <c r="S777">
        <v>0.38073000000000001</v>
      </c>
      <c r="T777" t="s">
        <v>718</v>
      </c>
    </row>
    <row r="778" spans="2:20" hidden="1">
      <c r="B778" t="s">
        <v>776</v>
      </c>
      <c r="C778" t="s">
        <v>777</v>
      </c>
      <c r="D778" t="s">
        <v>778</v>
      </c>
      <c r="E778">
        <v>0.27750000000000002</v>
      </c>
      <c r="F778">
        <v>0.4425</v>
      </c>
      <c r="G778">
        <v>0.40892000000000001</v>
      </c>
      <c r="H778">
        <v>0.50295999999999996</v>
      </c>
      <c r="I778">
        <v>0.54390000000000005</v>
      </c>
      <c r="J778">
        <v>0.45654</v>
      </c>
      <c r="L778">
        <v>0.36120999999999998</v>
      </c>
      <c r="M778" t="s">
        <v>101</v>
      </c>
      <c r="N778">
        <v>0.36120999999999998</v>
      </c>
      <c r="R778">
        <v>0.36120999999999998</v>
      </c>
      <c r="S778">
        <v>0.36120999999999998</v>
      </c>
      <c r="T778" t="s">
        <v>718</v>
      </c>
    </row>
    <row r="779" spans="2:20" hidden="1">
      <c r="B779" t="s">
        <v>779</v>
      </c>
      <c r="C779" t="s">
        <v>780</v>
      </c>
      <c r="D779" t="s">
        <v>781</v>
      </c>
      <c r="E779" t="e">
        <v>#N/A</v>
      </c>
      <c r="F779">
        <v>0.92</v>
      </c>
      <c r="G779">
        <v>0.81784000000000001</v>
      </c>
      <c r="H779">
        <v>0.81784000000000001</v>
      </c>
      <c r="I779">
        <v>0.66847999999999996</v>
      </c>
      <c r="J779">
        <v>0.66171000000000002</v>
      </c>
      <c r="L779">
        <v>0.66891999999999996</v>
      </c>
      <c r="M779" t="s">
        <v>101</v>
      </c>
      <c r="N779">
        <v>0.66891999999999996</v>
      </c>
      <c r="R779">
        <v>0.66891999999999996</v>
      </c>
      <c r="S779">
        <v>0.66891999999999996</v>
      </c>
      <c r="T779" t="s">
        <v>718</v>
      </c>
    </row>
    <row r="780" spans="2:20" hidden="1">
      <c r="B780" t="s">
        <v>782</v>
      </c>
      <c r="C780" t="s">
        <v>640</v>
      </c>
      <c r="D780" t="s">
        <v>783</v>
      </c>
      <c r="E780">
        <v>0.43639999999999995</v>
      </c>
      <c r="F780">
        <v>0.47555000000000003</v>
      </c>
      <c r="G780">
        <v>0.57840000000000003</v>
      </c>
      <c r="H780">
        <v>0.57496999999999998</v>
      </c>
      <c r="I780">
        <v>0.53983999999999999</v>
      </c>
      <c r="J780">
        <v>0.53069000000000011</v>
      </c>
      <c r="L780">
        <v>0.53339000000000003</v>
      </c>
      <c r="M780" t="s">
        <v>101</v>
      </c>
      <c r="N780">
        <v>0.53339000000000003</v>
      </c>
      <c r="R780">
        <v>0.53339000000000003</v>
      </c>
      <c r="S780">
        <v>0.53339000000000003</v>
      </c>
      <c r="T780" t="s">
        <v>718</v>
      </c>
    </row>
    <row r="781" spans="2:20" hidden="1">
      <c r="B781" t="s">
        <v>784</v>
      </c>
      <c r="C781" t="s">
        <v>785</v>
      </c>
      <c r="D781" t="s">
        <v>786</v>
      </c>
      <c r="E781">
        <v>0.33189999999999997</v>
      </c>
      <c r="F781">
        <v>0.50263000000000002</v>
      </c>
      <c r="G781">
        <v>0.47295999999999999</v>
      </c>
      <c r="H781">
        <v>0.44641000000000003</v>
      </c>
      <c r="I781">
        <v>0.44157999999999997</v>
      </c>
      <c r="J781">
        <v>0.49939</v>
      </c>
      <c r="L781">
        <v>0.28049000000000002</v>
      </c>
      <c r="M781" t="s">
        <v>101</v>
      </c>
      <c r="N781">
        <v>0.28049000000000002</v>
      </c>
      <c r="R781">
        <v>0.28049000000000002</v>
      </c>
      <c r="S781">
        <v>0.28049000000000002</v>
      </c>
      <c r="T781" t="s">
        <v>718</v>
      </c>
    </row>
    <row r="782" spans="2:20" hidden="1">
      <c r="B782" t="s">
        <v>787</v>
      </c>
      <c r="C782" t="s">
        <v>788</v>
      </c>
      <c r="D782" t="s">
        <v>789</v>
      </c>
      <c r="E782">
        <v>1.0166999999999999</v>
      </c>
      <c r="F782">
        <v>0.88124999999999998</v>
      </c>
      <c r="G782">
        <v>0.88736000000000004</v>
      </c>
      <c r="H782">
        <v>0.86987000000000003</v>
      </c>
      <c r="I782">
        <v>0.85104000000000002</v>
      </c>
      <c r="J782">
        <v>0.8345499999999999</v>
      </c>
      <c r="L782">
        <v>0.90461999999999998</v>
      </c>
      <c r="M782" t="s">
        <v>101</v>
      </c>
      <c r="N782">
        <v>0.90461999999999998</v>
      </c>
      <c r="R782">
        <v>0.90461999999999998</v>
      </c>
      <c r="S782">
        <v>0.90461999999999998</v>
      </c>
      <c r="T782" t="s">
        <v>718</v>
      </c>
    </row>
    <row r="783" spans="2:20" hidden="1">
      <c r="B783" t="s">
        <v>790</v>
      </c>
      <c r="C783" t="s">
        <v>791</v>
      </c>
      <c r="D783" t="s">
        <v>792</v>
      </c>
      <c r="E783">
        <v>0.47960000000000003</v>
      </c>
      <c r="F783">
        <v>0.35841000000000001</v>
      </c>
      <c r="G783">
        <v>0.41035000000000005</v>
      </c>
      <c r="H783">
        <v>0.36704999999999999</v>
      </c>
      <c r="I783">
        <v>0.28920000000000001</v>
      </c>
      <c r="J783">
        <v>0.38292999999999999</v>
      </c>
      <c r="L783">
        <v>0.31551999999999997</v>
      </c>
      <c r="M783" t="s">
        <v>101</v>
      </c>
      <c r="N783">
        <v>0.31551999999999997</v>
      </c>
      <c r="R783">
        <v>0.31551999999999997</v>
      </c>
      <c r="S783">
        <v>0.31551999999999997</v>
      </c>
      <c r="T783" t="s">
        <v>718</v>
      </c>
    </row>
    <row r="784" spans="2:20" hidden="1">
      <c r="B784" t="s">
        <v>793</v>
      </c>
      <c r="C784" t="s">
        <v>794</v>
      </c>
      <c r="D784" t="s">
        <v>795</v>
      </c>
      <c r="E784">
        <v>0.53910000000000002</v>
      </c>
      <c r="F784">
        <v>0.42463000000000001</v>
      </c>
      <c r="G784">
        <v>0.51342999999999994</v>
      </c>
      <c r="H784">
        <v>0.41037000000000001</v>
      </c>
      <c r="I784">
        <v>0.38990999999999998</v>
      </c>
      <c r="J784">
        <v>0.42474000000000001</v>
      </c>
      <c r="L784">
        <v>0.40258999999999995</v>
      </c>
      <c r="M784" t="s">
        <v>101</v>
      </c>
      <c r="N784">
        <v>0.40258999999999995</v>
      </c>
      <c r="R784">
        <v>0.40258999999999995</v>
      </c>
      <c r="S784">
        <v>0.40258999999999995</v>
      </c>
      <c r="T784" t="s">
        <v>718</v>
      </c>
    </row>
    <row r="785" spans="2:20" hidden="1">
      <c r="B785" t="s">
        <v>796</v>
      </c>
      <c r="C785" t="s">
        <v>706</v>
      </c>
      <c r="D785" t="s">
        <v>797</v>
      </c>
      <c r="E785">
        <v>0.121</v>
      </c>
      <c r="F785">
        <v>0.17488999999999999</v>
      </c>
      <c r="G785">
        <v>0.20366999999999999</v>
      </c>
      <c r="H785">
        <v>0.16228000000000001</v>
      </c>
      <c r="I785">
        <v>0.18686</v>
      </c>
      <c r="J785">
        <v>0.1802</v>
      </c>
      <c r="L785">
        <v>0.19394999999999998</v>
      </c>
      <c r="M785" t="s">
        <v>101</v>
      </c>
      <c r="N785">
        <v>0.19394999999999998</v>
      </c>
      <c r="R785">
        <v>0.19394999999999998</v>
      </c>
      <c r="S785">
        <v>0.19394999999999998</v>
      </c>
      <c r="T785" t="s">
        <v>718</v>
      </c>
    </row>
    <row r="786" spans="2:20" hidden="1">
      <c r="B786" t="s">
        <v>798</v>
      </c>
      <c r="C786" t="s">
        <v>799</v>
      </c>
      <c r="D786" t="s">
        <v>800</v>
      </c>
      <c r="E786">
        <v>0.54600000000000004</v>
      </c>
      <c r="F786">
        <v>0.21593999999999999</v>
      </c>
      <c r="G786">
        <v>0.5141699999999999</v>
      </c>
      <c r="H786">
        <v>0.36966000000000004</v>
      </c>
      <c r="I786">
        <v>0.53203</v>
      </c>
      <c r="J786">
        <v>0.44733000000000001</v>
      </c>
      <c r="L786">
        <v>0.50223000000000007</v>
      </c>
      <c r="M786" t="s">
        <v>101</v>
      </c>
      <c r="N786">
        <v>0.50223000000000007</v>
      </c>
      <c r="R786">
        <v>0.50223000000000007</v>
      </c>
      <c r="S786">
        <v>0.50223000000000007</v>
      </c>
      <c r="T786" t="s">
        <v>718</v>
      </c>
    </row>
    <row r="787" spans="2:20" hidden="1">
      <c r="B787" t="s">
        <v>801</v>
      </c>
      <c r="C787" t="s">
        <v>802</v>
      </c>
      <c r="D787" t="s">
        <v>803</v>
      </c>
      <c r="E787">
        <v>0.31330000000000002</v>
      </c>
      <c r="F787">
        <v>0.27818999999999999</v>
      </c>
      <c r="G787">
        <v>0.38685000000000003</v>
      </c>
      <c r="H787">
        <v>0.43874999999999997</v>
      </c>
      <c r="I787">
        <v>0.39951999999999999</v>
      </c>
      <c r="J787">
        <v>0.44638</v>
      </c>
      <c r="L787">
        <v>0.45091000000000003</v>
      </c>
      <c r="M787" t="s">
        <v>101</v>
      </c>
      <c r="N787">
        <v>0.45091000000000003</v>
      </c>
      <c r="R787">
        <v>0.45091000000000003</v>
      </c>
      <c r="S787">
        <v>0.45091000000000003</v>
      </c>
      <c r="T787" t="s">
        <v>718</v>
      </c>
    </row>
    <row r="788" spans="2:20" hidden="1">
      <c r="B788" t="s">
        <v>804</v>
      </c>
      <c r="C788" t="s">
        <v>805</v>
      </c>
      <c r="D788" t="s">
        <v>806</v>
      </c>
      <c r="E788">
        <v>3.7499999999999999E-2</v>
      </c>
      <c r="F788">
        <v>0.22874</v>
      </c>
      <c r="G788">
        <v>3.6159999999999998E-2</v>
      </c>
      <c r="H788">
        <v>4.2560000000000001E-2</v>
      </c>
      <c r="I788">
        <v>4.607E-2</v>
      </c>
      <c r="J788">
        <v>2.6040000000000001E-2</v>
      </c>
      <c r="L788">
        <v>3.7420000000000002E-2</v>
      </c>
      <c r="M788" t="s">
        <v>101</v>
      </c>
      <c r="N788">
        <v>3.7420000000000002E-2</v>
      </c>
      <c r="R788">
        <v>3.7420000000000002E-2</v>
      </c>
      <c r="S788">
        <v>3.7420000000000002E-2</v>
      </c>
      <c r="T788" t="s">
        <v>718</v>
      </c>
    </row>
    <row r="789" spans="2:20" hidden="1">
      <c r="B789" t="s">
        <v>807</v>
      </c>
      <c r="C789" t="s">
        <v>808</v>
      </c>
      <c r="D789" t="s">
        <v>809</v>
      </c>
      <c r="E789">
        <v>1.6899999999999998E-2</v>
      </c>
      <c r="F789">
        <v>3.5709999999999999E-2</v>
      </c>
      <c r="G789">
        <v>4.283E-2</v>
      </c>
      <c r="H789">
        <v>2.7570000000000001E-2</v>
      </c>
      <c r="I789">
        <v>0.28581000000000001</v>
      </c>
      <c r="J789">
        <v>0.19986999999999999</v>
      </c>
      <c r="L789">
        <v>3.4840000000000003E-2</v>
      </c>
      <c r="M789" t="s">
        <v>101</v>
      </c>
      <c r="N789">
        <v>3.4840000000000003E-2</v>
      </c>
      <c r="R789">
        <v>3.4840000000000003E-2</v>
      </c>
      <c r="S789">
        <v>3.4840000000000003E-2</v>
      </c>
      <c r="T789" t="s">
        <v>718</v>
      </c>
    </row>
    <row r="793" spans="2:20" ht="37.5">
      <c r="B793" s="449" t="s">
        <v>810</v>
      </c>
      <c r="C793" s="450" t="s">
        <v>111</v>
      </c>
      <c r="D793" s="451" t="s">
        <v>672</v>
      </c>
      <c r="E793" s="451" t="s">
        <v>673</v>
      </c>
      <c r="F793" s="451" t="s">
        <v>674</v>
      </c>
      <c r="G793" s="450" t="s">
        <v>319</v>
      </c>
      <c r="H793" s="451" t="s">
        <v>109</v>
      </c>
      <c r="I793" s="451" t="s">
        <v>110</v>
      </c>
      <c r="J793" s="450" t="s">
        <v>811</v>
      </c>
      <c r="K793" s="471" t="s">
        <v>112</v>
      </c>
    </row>
    <row r="794" spans="2:20" ht="15.75">
      <c r="B794" s="458" t="s">
        <v>67</v>
      </c>
      <c r="C794" s="458" t="s">
        <v>101</v>
      </c>
      <c r="D794" s="458">
        <v>0.49090034243249997</v>
      </c>
      <c r="E794" s="458"/>
      <c r="F794" s="458"/>
      <c r="G794" s="458"/>
      <c r="H794" s="458">
        <v>0.49090034243249997</v>
      </c>
      <c r="I794" s="458">
        <v>0.49090034243249997</v>
      </c>
      <c r="J794" s="458" t="s">
        <v>101</v>
      </c>
      <c r="K794" s="464" t="s">
        <v>687</v>
      </c>
    </row>
    <row r="795" spans="2:20" ht="15.75">
      <c r="B795" s="458" t="s">
        <v>566</v>
      </c>
      <c r="C795" s="458" t="s">
        <v>101</v>
      </c>
      <c r="D795" s="458">
        <v>0.22821592911810001</v>
      </c>
      <c r="E795" s="458"/>
      <c r="F795" s="458"/>
      <c r="G795" s="458"/>
      <c r="H795" s="458">
        <v>0.22821592911810001</v>
      </c>
      <c r="I795" s="458">
        <v>0.22821592911810001</v>
      </c>
      <c r="J795" s="458" t="s">
        <v>101</v>
      </c>
      <c r="K795" s="464" t="s">
        <v>687</v>
      </c>
    </row>
    <row r="796" spans="2:20" ht="15.75">
      <c r="B796" s="458" t="s">
        <v>568</v>
      </c>
      <c r="C796" s="458" t="s">
        <v>101</v>
      </c>
      <c r="D796" s="458">
        <v>0.47410835289510006</v>
      </c>
      <c r="E796" s="458"/>
      <c r="F796" s="458"/>
      <c r="G796" s="458"/>
      <c r="H796" s="458">
        <v>0.47410835289510006</v>
      </c>
      <c r="I796" s="458">
        <v>0.47410835289510006</v>
      </c>
      <c r="J796" s="458" t="s">
        <v>101</v>
      </c>
      <c r="K796" s="464" t="s">
        <v>687</v>
      </c>
    </row>
    <row r="797" spans="2:20" ht="15.75">
      <c r="B797" s="458" t="s">
        <v>570</v>
      </c>
      <c r="C797" s="458" t="s">
        <v>101</v>
      </c>
      <c r="D797" s="458">
        <v>0.24014087252540001</v>
      </c>
      <c r="E797" s="458"/>
      <c r="F797" s="458"/>
      <c r="G797" s="458"/>
      <c r="H797" s="458">
        <v>0.24014087252540001</v>
      </c>
      <c r="I797" s="458">
        <v>0.24014087252540001</v>
      </c>
      <c r="J797" s="458" t="s">
        <v>101</v>
      </c>
      <c r="K797" s="464" t="s">
        <v>687</v>
      </c>
    </row>
    <row r="798" spans="2:20" ht="15.75">
      <c r="B798" s="458" t="s">
        <v>572</v>
      </c>
      <c r="C798" s="458" t="s">
        <v>101</v>
      </c>
      <c r="D798" s="458">
        <v>0.48545269806880004</v>
      </c>
      <c r="E798" s="458"/>
      <c r="F798" s="458"/>
      <c r="G798" s="458"/>
      <c r="H798" s="458">
        <v>0.48545269806880004</v>
      </c>
      <c r="I798" s="458">
        <v>0.48545269806880004</v>
      </c>
      <c r="J798" s="458" t="s">
        <v>101</v>
      </c>
      <c r="K798" s="464" t="s">
        <v>687</v>
      </c>
    </row>
    <row r="799" spans="2:20" ht="15.75">
      <c r="B799" s="458" t="s">
        <v>574</v>
      </c>
      <c r="C799" s="458" t="s">
        <v>101</v>
      </c>
      <c r="D799" s="458">
        <v>0.46138508691660002</v>
      </c>
      <c r="E799" s="458"/>
      <c r="F799" s="458"/>
      <c r="G799" s="458"/>
      <c r="H799" s="458">
        <v>0.46138508691660002</v>
      </c>
      <c r="I799" s="458">
        <v>0.46138508691660002</v>
      </c>
      <c r="J799" s="458" t="s">
        <v>101</v>
      </c>
      <c r="K799" s="464" t="s">
        <v>687</v>
      </c>
    </row>
    <row r="800" spans="2:20" ht="15.75">
      <c r="B800" s="458" t="s">
        <v>576</v>
      </c>
      <c r="C800" s="458" t="s">
        <v>101</v>
      </c>
      <c r="D800" s="458">
        <v>0.52254748208739998</v>
      </c>
      <c r="E800" s="458"/>
      <c r="F800" s="458"/>
      <c r="G800" s="458"/>
      <c r="H800" s="458">
        <v>0.52254748208739998</v>
      </c>
      <c r="I800" s="458">
        <v>0.52254748208739998</v>
      </c>
      <c r="J800" s="458" t="s">
        <v>101</v>
      </c>
      <c r="K800" s="464" t="s">
        <v>687</v>
      </c>
    </row>
    <row r="801" spans="2:11" ht="15.75">
      <c r="B801" s="458" t="s">
        <v>578</v>
      </c>
      <c r="C801" s="458" t="s">
        <v>101</v>
      </c>
      <c r="D801" s="458">
        <v>0.75427421614930001</v>
      </c>
      <c r="E801" s="458"/>
      <c r="F801" s="458"/>
      <c r="G801" s="458"/>
      <c r="H801" s="458">
        <v>0.75427421614930001</v>
      </c>
      <c r="I801" s="458">
        <v>0.75427421614930001</v>
      </c>
      <c r="J801" s="458" t="s">
        <v>101</v>
      </c>
      <c r="K801" s="464" t="s">
        <v>687</v>
      </c>
    </row>
    <row r="802" spans="2:11" ht="15.75">
      <c r="B802" s="458" t="s">
        <v>580</v>
      </c>
      <c r="C802" s="458" t="s">
        <v>101</v>
      </c>
      <c r="D802" s="458">
        <v>0.75695948297970006</v>
      </c>
      <c r="E802" s="458"/>
      <c r="F802" s="458"/>
      <c r="G802" s="458"/>
      <c r="H802" s="458">
        <v>0.75695948297970006</v>
      </c>
      <c r="I802" s="458">
        <v>0.75695948297970006</v>
      </c>
      <c r="J802" s="458" t="s">
        <v>101</v>
      </c>
      <c r="K802" s="464" t="s">
        <v>687</v>
      </c>
    </row>
    <row r="803" spans="2:11" ht="15.75">
      <c r="B803" s="458" t="s">
        <v>582</v>
      </c>
      <c r="C803" s="458" t="s">
        <v>101</v>
      </c>
      <c r="D803" s="458">
        <v>0.58674894613720008</v>
      </c>
      <c r="E803" s="458"/>
      <c r="F803" s="458"/>
      <c r="G803" s="458"/>
      <c r="H803" s="458">
        <v>0.58674894613720008</v>
      </c>
      <c r="I803" s="458">
        <v>0.58674894613720008</v>
      </c>
      <c r="J803" s="458" t="s">
        <v>101</v>
      </c>
      <c r="K803" s="464" t="s">
        <v>687</v>
      </c>
    </row>
    <row r="804" spans="2:11" ht="15.75">
      <c r="B804" s="458" t="s">
        <v>584</v>
      </c>
      <c r="C804" s="458" t="s">
        <v>101</v>
      </c>
      <c r="D804" s="458">
        <v>0.25319072501030004</v>
      </c>
      <c r="E804" s="458"/>
      <c r="F804" s="458"/>
      <c r="G804" s="458"/>
      <c r="H804" s="458">
        <v>0.25319072501030004</v>
      </c>
      <c r="I804" s="458">
        <v>0.25319072501030004</v>
      </c>
      <c r="J804" s="458" t="s">
        <v>101</v>
      </c>
      <c r="K804" s="464" t="s">
        <v>687</v>
      </c>
    </row>
    <row r="805" spans="2:11" ht="15.75">
      <c r="B805" s="458" t="s">
        <v>586</v>
      </c>
      <c r="C805" s="458" t="s">
        <v>101</v>
      </c>
      <c r="D805" s="458">
        <v>0.30063648691229999</v>
      </c>
      <c r="E805" s="458"/>
      <c r="F805" s="458"/>
      <c r="G805" s="458"/>
      <c r="H805" s="458">
        <v>0.30063648691229999</v>
      </c>
      <c r="I805" s="458">
        <v>0.30063648691229999</v>
      </c>
      <c r="J805" s="458" t="s">
        <v>101</v>
      </c>
      <c r="K805" s="464" t="s">
        <v>687</v>
      </c>
    </row>
    <row r="806" spans="2:11" ht="15.75">
      <c r="B806" s="458" t="s">
        <v>588</v>
      </c>
      <c r="C806" s="458" t="s">
        <v>101</v>
      </c>
      <c r="D806" s="458">
        <v>0.28839856476969999</v>
      </c>
      <c r="E806" s="458"/>
      <c r="F806" s="458"/>
      <c r="G806" s="458"/>
      <c r="H806" s="458">
        <v>0.28839856476969999</v>
      </c>
      <c r="I806" s="458">
        <v>0.28839856476969999</v>
      </c>
      <c r="J806" s="458" t="s">
        <v>101</v>
      </c>
      <c r="K806" s="464" t="s">
        <v>687</v>
      </c>
    </row>
    <row r="807" spans="2:11" ht="15.75">
      <c r="B807" s="458" t="s">
        <v>590</v>
      </c>
      <c r="C807" s="458" t="s">
        <v>101</v>
      </c>
      <c r="D807" s="458">
        <v>0.53447696141840007</v>
      </c>
      <c r="E807" s="458"/>
      <c r="F807" s="458"/>
      <c r="G807" s="458"/>
      <c r="H807" s="458">
        <v>0.53447696141840007</v>
      </c>
      <c r="I807" s="458">
        <v>0.53447696141840007</v>
      </c>
      <c r="J807" s="458" t="s">
        <v>101</v>
      </c>
      <c r="K807" s="464" t="s">
        <v>687</v>
      </c>
    </row>
    <row r="808" spans="2:11" ht="15.75">
      <c r="B808" s="458" t="s">
        <v>592</v>
      </c>
      <c r="C808" s="458" t="s">
        <v>101</v>
      </c>
      <c r="D808" s="458">
        <v>0.133673671439</v>
      </c>
      <c r="E808" s="458"/>
      <c r="F808" s="458"/>
      <c r="G808" s="458"/>
      <c r="H808" s="458">
        <v>0.133673671439</v>
      </c>
      <c r="I808" s="458">
        <v>0.133673671439</v>
      </c>
      <c r="J808" s="458" t="s">
        <v>101</v>
      </c>
      <c r="K808" s="464" t="s">
        <v>687</v>
      </c>
    </row>
    <row r="809" spans="2:11" ht="15.75">
      <c r="B809" s="458" t="s">
        <v>594</v>
      </c>
      <c r="C809" s="458" t="s">
        <v>101</v>
      </c>
      <c r="D809" s="458">
        <v>0.34403166895019999</v>
      </c>
      <c r="E809" s="458"/>
      <c r="F809" s="458"/>
      <c r="G809" s="458"/>
      <c r="H809" s="458">
        <v>0.34403166895019999</v>
      </c>
      <c r="I809" s="458">
        <v>0.34403166895019999</v>
      </c>
      <c r="J809" s="458" t="s">
        <v>101</v>
      </c>
      <c r="K809" s="464" t="s">
        <v>687</v>
      </c>
    </row>
    <row r="810" spans="2:11" ht="15.75">
      <c r="B810" s="458" t="s">
        <v>596</v>
      </c>
      <c r="C810" s="458" t="s">
        <v>101</v>
      </c>
      <c r="D810" s="458">
        <v>0.57733236853600001</v>
      </c>
      <c r="E810" s="458"/>
      <c r="F810" s="458"/>
      <c r="G810" s="458"/>
      <c r="H810" s="458">
        <v>0.57733236853600001</v>
      </c>
      <c r="I810" s="458">
        <v>0.57733236853600001</v>
      </c>
      <c r="J810" s="458" t="s">
        <v>101</v>
      </c>
      <c r="K810" s="464" t="s">
        <v>687</v>
      </c>
    </row>
    <row r="811" spans="2:11" ht="15.75">
      <c r="B811" s="458" t="s">
        <v>598</v>
      </c>
      <c r="C811" s="458" t="s">
        <v>101</v>
      </c>
      <c r="D811" s="458">
        <v>0.56425076458520007</v>
      </c>
      <c r="E811" s="458"/>
      <c r="F811" s="458"/>
      <c r="G811" s="458"/>
      <c r="H811" s="458">
        <v>0.56425076458520007</v>
      </c>
      <c r="I811" s="458">
        <v>0.56425076458520007</v>
      </c>
      <c r="J811" s="458" t="s">
        <v>101</v>
      </c>
      <c r="K811" s="464" t="s">
        <v>687</v>
      </c>
    </row>
    <row r="812" spans="2:11" ht="15.75">
      <c r="B812" s="458" t="s">
        <v>600</v>
      </c>
      <c r="C812" s="458" t="s">
        <v>101</v>
      </c>
      <c r="D812" s="458">
        <v>0.62565356371210001</v>
      </c>
      <c r="E812" s="458"/>
      <c r="F812" s="458"/>
      <c r="G812" s="458"/>
      <c r="H812" s="458">
        <v>0.62565356371210001</v>
      </c>
      <c r="I812" s="458">
        <v>0.62565356371210001</v>
      </c>
      <c r="J812" s="458" t="s">
        <v>101</v>
      </c>
      <c r="K812" s="464" t="s">
        <v>687</v>
      </c>
    </row>
    <row r="813" spans="2:11" ht="15.75">
      <c r="B813" s="458" t="s">
        <v>602</v>
      </c>
      <c r="C813" s="458" t="s">
        <v>101</v>
      </c>
      <c r="D813" s="458">
        <v>0.68686131811990003</v>
      </c>
      <c r="E813" s="458"/>
      <c r="F813" s="458"/>
      <c r="G813" s="458"/>
      <c r="H813" s="458">
        <v>0.68686131811990003</v>
      </c>
      <c r="I813" s="458">
        <v>0.68686131811990003</v>
      </c>
      <c r="J813" s="458" t="s">
        <v>101</v>
      </c>
      <c r="K813" s="464" t="s">
        <v>687</v>
      </c>
    </row>
    <row r="814" spans="2:11" ht="15.75">
      <c r="B814" s="458" t="s">
        <v>604</v>
      </c>
      <c r="C814" s="458" t="s">
        <v>101</v>
      </c>
      <c r="D814" s="458">
        <v>0.64179691616040013</v>
      </c>
      <c r="E814" s="458"/>
      <c r="F814" s="458"/>
      <c r="G814" s="458"/>
      <c r="H814" s="458">
        <v>0.64179691616040013</v>
      </c>
      <c r="I814" s="458">
        <v>0.64179691616040013</v>
      </c>
      <c r="J814" s="458" t="s">
        <v>101</v>
      </c>
      <c r="K814" s="464" t="s">
        <v>687</v>
      </c>
    </row>
    <row r="815" spans="2:11" ht="15.75">
      <c r="B815" s="458" t="s">
        <v>606</v>
      </c>
      <c r="C815" s="458" t="s">
        <v>101</v>
      </c>
      <c r="D815" s="458">
        <v>0.38108109373180005</v>
      </c>
      <c r="E815" s="458"/>
      <c r="F815" s="458"/>
      <c r="G815" s="458"/>
      <c r="H815" s="458">
        <v>0.38108109373180005</v>
      </c>
      <c r="I815" s="458">
        <v>0.38108109373180005</v>
      </c>
      <c r="J815" s="458" t="s">
        <v>101</v>
      </c>
      <c r="K815" s="464" t="s">
        <v>687</v>
      </c>
    </row>
    <row r="816" spans="2:11" ht="15.75">
      <c r="B816" s="458" t="s">
        <v>608</v>
      </c>
      <c r="C816" s="458" t="s">
        <v>101</v>
      </c>
      <c r="D816" s="458">
        <v>0.73917412615199996</v>
      </c>
      <c r="E816" s="458"/>
      <c r="F816" s="458"/>
      <c r="G816" s="458"/>
      <c r="H816" s="458">
        <v>0.73917412615199996</v>
      </c>
      <c r="I816" s="458">
        <v>0.73917412615199996</v>
      </c>
      <c r="J816" s="458" t="s">
        <v>101</v>
      </c>
      <c r="K816" s="464" t="s">
        <v>687</v>
      </c>
    </row>
    <row r="817" spans="2:11" ht="15.75">
      <c r="B817" s="458" t="s">
        <v>610</v>
      </c>
      <c r="C817" s="458" t="s">
        <v>101</v>
      </c>
      <c r="D817" s="458">
        <v>0.49653395966790004</v>
      </c>
      <c r="E817" s="458"/>
      <c r="F817" s="458"/>
      <c r="G817" s="458"/>
      <c r="H817" s="458">
        <v>0.49653395966790004</v>
      </c>
      <c r="I817" s="458">
        <v>0.49653395966790004</v>
      </c>
      <c r="J817" s="458" t="s">
        <v>101</v>
      </c>
      <c r="K817" s="464" t="s">
        <v>687</v>
      </c>
    </row>
    <row r="818" spans="2:11" ht="15.75">
      <c r="B818" s="458" t="s">
        <v>612</v>
      </c>
      <c r="C818" s="458" t="s">
        <v>101</v>
      </c>
      <c r="D818" s="458">
        <v>0.5379061197356001</v>
      </c>
      <c r="E818" s="458"/>
      <c r="F818" s="458"/>
      <c r="G818" s="458"/>
      <c r="H818" s="458">
        <v>0.5379061197356001</v>
      </c>
      <c r="I818" s="458">
        <v>0.5379061197356001</v>
      </c>
      <c r="J818" s="458" t="s">
        <v>101</v>
      </c>
      <c r="K818" s="464" t="s">
        <v>687</v>
      </c>
    </row>
    <row r="819" spans="2:11" ht="15.75">
      <c r="B819" s="458" t="s">
        <v>614</v>
      </c>
      <c r="C819" s="458" t="s">
        <v>101</v>
      </c>
      <c r="D819" s="458">
        <v>0.36619872807210002</v>
      </c>
      <c r="E819" s="458"/>
      <c r="F819" s="458"/>
      <c r="G819" s="458"/>
      <c r="H819" s="458">
        <v>0.36619872807210002</v>
      </c>
      <c r="I819" s="458">
        <v>0.36619872807210002</v>
      </c>
      <c r="J819" s="458" t="s">
        <v>101</v>
      </c>
      <c r="K819" s="464" t="s">
        <v>687</v>
      </c>
    </row>
    <row r="820" spans="2:11" ht="15.75">
      <c r="B820" s="458" t="s">
        <v>688</v>
      </c>
      <c r="C820" s="458" t="s">
        <v>101</v>
      </c>
      <c r="D820" s="458">
        <v>0.46036462211467172</v>
      </c>
      <c r="E820" s="458"/>
      <c r="F820" s="458"/>
      <c r="G820" s="458"/>
      <c r="H820" s="458">
        <v>0.46036462211467172</v>
      </c>
      <c r="I820" s="458">
        <v>0.46036462211467172</v>
      </c>
      <c r="J820" s="458" t="s">
        <v>101</v>
      </c>
      <c r="K820" s="464" t="s">
        <v>687</v>
      </c>
    </row>
    <row r="821" spans="2:11" ht="15.75">
      <c r="B821" s="458" t="s">
        <v>641</v>
      </c>
      <c r="C821" s="458" t="s">
        <v>101</v>
      </c>
      <c r="D821" s="458">
        <v>4.5064401959500004E-2</v>
      </c>
      <c r="E821" s="458"/>
      <c r="F821" s="458"/>
      <c r="G821" s="458"/>
      <c r="H821" s="458">
        <v>4.5064401959500004E-2</v>
      </c>
      <c r="I821" s="458">
        <v>4.5064401959500004E-2</v>
      </c>
      <c r="J821" s="458" t="s">
        <v>101</v>
      </c>
      <c r="K821" s="464" t="s">
        <v>687</v>
      </c>
    </row>
    <row r="822" spans="2:11" ht="15.75">
      <c r="B822" s="458" t="s">
        <v>649</v>
      </c>
      <c r="C822" s="458" t="s">
        <v>101</v>
      </c>
      <c r="D822" s="458">
        <v>4.5064401959500004E-2</v>
      </c>
      <c r="E822" s="458"/>
      <c r="F822" s="458"/>
      <c r="G822" s="458"/>
      <c r="H822" s="458">
        <v>4.5064401959500004E-2</v>
      </c>
      <c r="I822" s="458">
        <v>4.5064401959500004E-2</v>
      </c>
      <c r="J822" s="458" t="s">
        <v>101</v>
      </c>
      <c r="K822" s="464" t="s">
        <v>687</v>
      </c>
    </row>
    <row r="823" spans="2:11" ht="15.75">
      <c r="B823" s="458" t="s">
        <v>66</v>
      </c>
      <c r="C823" s="458" t="s">
        <v>101</v>
      </c>
      <c r="D823" s="458">
        <v>4.5064401959500004E-2</v>
      </c>
      <c r="E823" s="458"/>
      <c r="F823" s="458"/>
      <c r="G823" s="458"/>
      <c r="H823" s="458">
        <v>4.5064401959500004E-2</v>
      </c>
      <c r="I823" s="458">
        <v>4.5064401959500004E-2</v>
      </c>
      <c r="J823" s="458" t="s">
        <v>101</v>
      </c>
      <c r="K823" s="464" t="s">
        <v>687</v>
      </c>
    </row>
    <row r="824" spans="2:11" ht="15.75">
      <c r="B824" s="458" t="s">
        <v>652</v>
      </c>
      <c r="C824" s="458" t="s">
        <v>101</v>
      </c>
      <c r="D824" s="458">
        <v>0.2399458278063</v>
      </c>
      <c r="E824" s="458"/>
      <c r="F824" s="458"/>
      <c r="G824" s="458"/>
      <c r="H824" s="458">
        <v>0.2399458278063</v>
      </c>
      <c r="I824" s="458">
        <v>0.2399458278063</v>
      </c>
      <c r="J824" s="458" t="s">
        <v>101</v>
      </c>
      <c r="K824" s="464" t="s">
        <v>687</v>
      </c>
    </row>
    <row r="825" spans="2:11" ht="15.75">
      <c r="B825" s="458" t="s">
        <v>654</v>
      </c>
      <c r="C825" s="458" t="s">
        <v>101</v>
      </c>
      <c r="D825" s="458">
        <v>0.2399458278063</v>
      </c>
      <c r="E825" s="458"/>
      <c r="F825" s="458"/>
      <c r="G825" s="458"/>
      <c r="H825" s="458">
        <v>0.2399458278063</v>
      </c>
      <c r="I825" s="458">
        <v>0.2399458278063</v>
      </c>
      <c r="J825" s="458" t="s">
        <v>101</v>
      </c>
      <c r="K825" s="464" t="s">
        <v>687</v>
      </c>
    </row>
    <row r="826" spans="2:11" ht="15.75">
      <c r="B826" s="458" t="s">
        <v>656</v>
      </c>
      <c r="C826" s="458" t="s">
        <v>101</v>
      </c>
      <c r="D826" s="458">
        <v>0.38179323375270002</v>
      </c>
      <c r="E826" s="458"/>
      <c r="F826" s="458"/>
      <c r="G826" s="458"/>
      <c r="H826" s="458">
        <v>0.38179323375270002</v>
      </c>
      <c r="I826" s="458">
        <v>0.38179323375270002</v>
      </c>
      <c r="J826" s="458" t="s">
        <v>101</v>
      </c>
      <c r="K826" s="464" t="s">
        <v>687</v>
      </c>
    </row>
    <row r="827" spans="2:11" ht="15.75">
      <c r="B827" s="458" t="s">
        <v>658</v>
      </c>
      <c r="C827" s="458" t="s">
        <v>101</v>
      </c>
      <c r="D827" s="458">
        <v>0.38179323375270002</v>
      </c>
      <c r="E827" s="458"/>
      <c r="F827" s="458"/>
      <c r="G827" s="458"/>
      <c r="H827" s="458">
        <v>0.38179323375270002</v>
      </c>
      <c r="I827" s="458">
        <v>0.38179323375270002</v>
      </c>
      <c r="J827" s="458" t="s">
        <v>101</v>
      </c>
      <c r="K827" s="464" t="s">
        <v>687</v>
      </c>
    </row>
    <row r="828" spans="2:11" ht="15.75">
      <c r="B828" s="458" t="s">
        <v>719</v>
      </c>
      <c r="C828" s="458" t="s">
        <v>101</v>
      </c>
      <c r="D828" s="458">
        <v>0.54586999999999997</v>
      </c>
      <c r="E828" s="458"/>
      <c r="F828" s="458"/>
      <c r="G828" s="458"/>
      <c r="H828" s="458">
        <v>0.54586999999999997</v>
      </c>
      <c r="I828" s="458">
        <v>0.54586999999999997</v>
      </c>
      <c r="J828" s="458" t="s">
        <v>101</v>
      </c>
      <c r="K828" s="464" t="s">
        <v>812</v>
      </c>
    </row>
    <row r="829" spans="2:11" ht="15.75">
      <c r="B829" s="458" t="s">
        <v>722</v>
      </c>
      <c r="C829" s="458" t="s">
        <v>101</v>
      </c>
      <c r="D829" s="458">
        <v>0.18906000000000001</v>
      </c>
      <c r="E829" s="458"/>
      <c r="F829" s="458"/>
      <c r="G829" s="458"/>
      <c r="H829" s="458">
        <v>0.18906000000000001</v>
      </c>
      <c r="I829" s="458">
        <v>0.18906000000000001</v>
      </c>
      <c r="J829" s="458" t="s">
        <v>101</v>
      </c>
      <c r="K829" s="464" t="s">
        <v>812</v>
      </c>
    </row>
    <row r="830" spans="2:11" ht="15.75">
      <c r="B830" s="458" t="s">
        <v>725</v>
      </c>
      <c r="C830" s="458" t="s">
        <v>101</v>
      </c>
      <c r="D830" s="458">
        <v>0.49542999999999998</v>
      </c>
      <c r="E830" s="458"/>
      <c r="F830" s="458"/>
      <c r="G830" s="458"/>
      <c r="H830" s="458">
        <v>0.49542999999999998</v>
      </c>
      <c r="I830" s="458">
        <v>0.49542999999999998</v>
      </c>
      <c r="J830" s="458" t="s">
        <v>101</v>
      </c>
      <c r="K830" s="464" t="s">
        <v>812</v>
      </c>
    </row>
    <row r="831" spans="2:11" ht="15.75">
      <c r="B831" s="458" t="s">
        <v>728</v>
      </c>
      <c r="C831" s="458" t="s">
        <v>101</v>
      </c>
      <c r="D831" s="458">
        <v>0.56167999999999996</v>
      </c>
      <c r="E831" s="458"/>
      <c r="F831" s="458"/>
      <c r="G831" s="458"/>
      <c r="H831" s="458">
        <v>0.56167999999999996</v>
      </c>
      <c r="I831" s="458">
        <v>0.56167999999999996</v>
      </c>
      <c r="J831" s="458" t="s">
        <v>101</v>
      </c>
      <c r="K831" s="464" t="s">
        <v>812</v>
      </c>
    </row>
    <row r="832" spans="2:11" ht="15.75">
      <c r="B832" s="458" t="s">
        <v>731</v>
      </c>
      <c r="C832" s="458" t="s">
        <v>101</v>
      </c>
      <c r="D832" s="458">
        <v>0.77021000000000006</v>
      </c>
      <c r="E832" s="458"/>
      <c r="F832" s="458"/>
      <c r="G832" s="458"/>
      <c r="H832" s="458">
        <v>0.77021000000000006</v>
      </c>
      <c r="I832" s="458">
        <v>0.77021000000000006</v>
      </c>
      <c r="J832" s="458" t="s">
        <v>101</v>
      </c>
      <c r="K832" s="464" t="s">
        <v>812</v>
      </c>
    </row>
    <row r="833" spans="2:11" ht="15.75">
      <c r="B833" s="458" t="s">
        <v>734</v>
      </c>
      <c r="C833" s="458" t="s">
        <v>101</v>
      </c>
      <c r="D833" s="458">
        <v>0.61229999999999996</v>
      </c>
      <c r="E833" s="458"/>
      <c r="F833" s="458"/>
      <c r="G833" s="458"/>
      <c r="H833" s="458">
        <v>0.61229999999999996</v>
      </c>
      <c r="I833" s="458">
        <v>0.61229999999999996</v>
      </c>
      <c r="J833" s="458" t="s">
        <v>101</v>
      </c>
      <c r="K833" s="464" t="s">
        <v>812</v>
      </c>
    </row>
    <row r="834" spans="2:11" ht="15.75">
      <c r="B834" s="458" t="s">
        <v>737</v>
      </c>
      <c r="C834" s="458" t="s">
        <v>101</v>
      </c>
      <c r="D834" s="458">
        <v>0.50936999999999999</v>
      </c>
      <c r="E834" s="458"/>
      <c r="F834" s="458"/>
      <c r="G834" s="458"/>
      <c r="H834" s="458">
        <v>0.50936999999999999</v>
      </c>
      <c r="I834" s="458">
        <v>0.50936999999999999</v>
      </c>
      <c r="J834" s="458" t="s">
        <v>101</v>
      </c>
      <c r="K834" s="464" t="s">
        <v>812</v>
      </c>
    </row>
    <row r="835" spans="2:11" ht="15.75">
      <c r="B835" s="458" t="s">
        <v>740</v>
      </c>
      <c r="C835" s="458" t="s">
        <v>101</v>
      </c>
      <c r="D835" s="458">
        <v>1.0432900000000001</v>
      </c>
      <c r="E835" s="458"/>
      <c r="F835" s="458"/>
      <c r="G835" s="458"/>
      <c r="H835" s="458">
        <v>1.0432900000000001</v>
      </c>
      <c r="I835" s="458">
        <v>1.0432900000000001</v>
      </c>
      <c r="J835" s="458" t="s">
        <v>101</v>
      </c>
      <c r="K835" s="464" t="s">
        <v>812</v>
      </c>
    </row>
    <row r="836" spans="2:11" ht="15.75">
      <c r="B836" s="458" t="s">
        <v>743</v>
      </c>
      <c r="C836" s="458" t="s">
        <v>101</v>
      </c>
      <c r="D836" s="458">
        <v>0.30163999999999996</v>
      </c>
      <c r="E836" s="458"/>
      <c r="F836" s="458"/>
      <c r="G836" s="458"/>
      <c r="H836" s="458">
        <v>0.30163999999999996</v>
      </c>
      <c r="I836" s="458">
        <v>0.30163999999999996</v>
      </c>
      <c r="J836" s="458" t="s">
        <v>101</v>
      </c>
      <c r="K836" s="464" t="s">
        <v>812</v>
      </c>
    </row>
    <row r="837" spans="2:11" ht="15.75">
      <c r="B837" s="458" t="s">
        <v>746</v>
      </c>
      <c r="C837" s="458" t="s">
        <v>101</v>
      </c>
      <c r="D837" s="458">
        <v>5.3200000000000004E-2</v>
      </c>
      <c r="E837" s="458"/>
      <c r="F837" s="458"/>
      <c r="G837" s="458"/>
      <c r="H837" s="458">
        <v>5.3200000000000004E-2</v>
      </c>
      <c r="I837" s="458">
        <v>5.3200000000000004E-2</v>
      </c>
      <c r="J837" s="458" t="s">
        <v>101</v>
      </c>
      <c r="K837" s="464" t="s">
        <v>812</v>
      </c>
    </row>
    <row r="838" spans="2:11" ht="15.75">
      <c r="B838" s="458" t="s">
        <v>749</v>
      </c>
      <c r="C838" s="458" t="s">
        <v>101</v>
      </c>
      <c r="D838" s="458">
        <v>0.72869000000000006</v>
      </c>
      <c r="E838" s="458"/>
      <c r="F838" s="458"/>
      <c r="G838" s="458"/>
      <c r="H838" s="458">
        <v>0.72869000000000006</v>
      </c>
      <c r="I838" s="458">
        <v>0.72869000000000006</v>
      </c>
      <c r="J838" s="458" t="s">
        <v>101</v>
      </c>
      <c r="K838" s="464" t="s">
        <v>812</v>
      </c>
    </row>
    <row r="839" spans="2:11" ht="15.75">
      <c r="B839" s="458" t="s">
        <v>752</v>
      </c>
      <c r="C839" s="458" t="s">
        <v>101</v>
      </c>
      <c r="D839" s="458">
        <v>0.38095999999999997</v>
      </c>
      <c r="E839" s="458"/>
      <c r="F839" s="458"/>
      <c r="G839" s="458"/>
      <c r="H839" s="458">
        <v>0.38095999999999997</v>
      </c>
      <c r="I839" s="458">
        <v>0.38095999999999997</v>
      </c>
      <c r="J839" s="458" t="s">
        <v>101</v>
      </c>
      <c r="K839" s="464" t="s">
        <v>812</v>
      </c>
    </row>
    <row r="840" spans="2:11" ht="15.75">
      <c r="B840" s="458" t="s">
        <v>755</v>
      </c>
      <c r="C840" s="458" t="s">
        <v>101</v>
      </c>
      <c r="D840" s="458">
        <v>0.69583000000000006</v>
      </c>
      <c r="E840" s="458"/>
      <c r="F840" s="458"/>
      <c r="G840" s="458"/>
      <c r="H840" s="458">
        <v>0.69583000000000006</v>
      </c>
      <c r="I840" s="458">
        <v>0.69583000000000006</v>
      </c>
      <c r="J840" s="458" t="s">
        <v>101</v>
      </c>
      <c r="K840" s="464" t="s">
        <v>812</v>
      </c>
    </row>
    <row r="841" spans="2:11" ht="15.75">
      <c r="B841" s="458" t="s">
        <v>758</v>
      </c>
      <c r="C841" s="458" t="s">
        <v>101</v>
      </c>
      <c r="D841" s="458">
        <v>0.37898000000000004</v>
      </c>
      <c r="E841" s="458"/>
      <c r="F841" s="458"/>
      <c r="G841" s="458"/>
      <c r="H841" s="458">
        <v>0.37898000000000004</v>
      </c>
      <c r="I841" s="458">
        <v>0.37898000000000004</v>
      </c>
      <c r="J841" s="458" t="s">
        <v>101</v>
      </c>
      <c r="K841" s="464" t="s">
        <v>812</v>
      </c>
    </row>
    <row r="842" spans="2:11" ht="15.75">
      <c r="B842" s="458" t="s">
        <v>761</v>
      </c>
      <c r="C842" s="458" t="s">
        <v>101</v>
      </c>
      <c r="D842" s="458">
        <v>0.48224</v>
      </c>
      <c r="E842" s="458"/>
      <c r="F842" s="458"/>
      <c r="G842" s="458"/>
      <c r="H842" s="458">
        <v>0.48224</v>
      </c>
      <c r="I842" s="458">
        <v>0.48224</v>
      </c>
      <c r="J842" s="458" t="s">
        <v>101</v>
      </c>
      <c r="K842" s="464" t="s">
        <v>812</v>
      </c>
    </row>
    <row r="843" spans="2:11" ht="15.75">
      <c r="B843" s="458" t="s">
        <v>764</v>
      </c>
      <c r="C843" s="458" t="s">
        <v>101</v>
      </c>
      <c r="D843" s="458">
        <v>0.64034999999999997</v>
      </c>
      <c r="E843" s="458"/>
      <c r="F843" s="458"/>
      <c r="G843" s="458"/>
      <c r="H843" s="458">
        <v>0.64034999999999997</v>
      </c>
      <c r="I843" s="458">
        <v>0.64034999999999997</v>
      </c>
      <c r="J843" s="458" t="s">
        <v>101</v>
      </c>
      <c r="K843" s="464" t="s">
        <v>812</v>
      </c>
    </row>
    <row r="844" spans="2:11" ht="15.75">
      <c r="B844" s="458" t="s">
        <v>767</v>
      </c>
      <c r="C844" s="458" t="s">
        <v>101</v>
      </c>
      <c r="D844" s="458">
        <v>0.48723</v>
      </c>
      <c r="E844" s="458"/>
      <c r="F844" s="458"/>
      <c r="G844" s="458"/>
      <c r="H844" s="458">
        <v>0.48723</v>
      </c>
      <c r="I844" s="458">
        <v>0.48723</v>
      </c>
      <c r="J844" s="458" t="s">
        <v>101</v>
      </c>
      <c r="K844" s="464" t="s">
        <v>812</v>
      </c>
    </row>
    <row r="845" spans="2:11" ht="15.75">
      <c r="B845" s="458" t="s">
        <v>770</v>
      </c>
      <c r="C845" s="458" t="s">
        <v>101</v>
      </c>
      <c r="D845" s="458">
        <v>0.32275999999999999</v>
      </c>
      <c r="E845" s="458"/>
      <c r="F845" s="458"/>
      <c r="G845" s="458"/>
      <c r="H845" s="458">
        <v>0.32275999999999999</v>
      </c>
      <c r="I845" s="458">
        <v>0.32275999999999999</v>
      </c>
      <c r="J845" s="458" t="s">
        <v>101</v>
      </c>
      <c r="K845" s="464" t="s">
        <v>812</v>
      </c>
    </row>
    <row r="846" spans="2:11" ht="15.75">
      <c r="B846" s="458" t="s">
        <v>773</v>
      </c>
      <c r="C846" s="458" t="s">
        <v>101</v>
      </c>
      <c r="D846" s="458">
        <v>0.38073000000000001</v>
      </c>
      <c r="E846" s="458"/>
      <c r="F846" s="458"/>
      <c r="G846" s="458"/>
      <c r="H846" s="458">
        <v>0.38073000000000001</v>
      </c>
      <c r="I846" s="458">
        <v>0.38073000000000001</v>
      </c>
      <c r="J846" s="458" t="s">
        <v>101</v>
      </c>
      <c r="K846" s="464" t="s">
        <v>812</v>
      </c>
    </row>
    <row r="847" spans="2:11" ht="15.75">
      <c r="B847" s="458" t="s">
        <v>776</v>
      </c>
      <c r="C847" s="458" t="s">
        <v>101</v>
      </c>
      <c r="D847" s="458">
        <v>0.36120999999999998</v>
      </c>
      <c r="E847" s="458"/>
      <c r="F847" s="458"/>
      <c r="G847" s="458"/>
      <c r="H847" s="458">
        <v>0.36120999999999998</v>
      </c>
      <c r="I847" s="458">
        <v>0.36120999999999998</v>
      </c>
      <c r="J847" s="458" t="s">
        <v>101</v>
      </c>
      <c r="K847" s="464" t="s">
        <v>812</v>
      </c>
    </row>
    <row r="848" spans="2:11" ht="15.75">
      <c r="B848" s="458" t="s">
        <v>779</v>
      </c>
      <c r="C848" s="458" t="s">
        <v>101</v>
      </c>
      <c r="D848" s="458">
        <v>0.66891999999999996</v>
      </c>
      <c r="E848" s="458"/>
      <c r="F848" s="458"/>
      <c r="G848" s="458"/>
      <c r="H848" s="458">
        <v>0.66891999999999996</v>
      </c>
      <c r="I848" s="458">
        <v>0.66891999999999996</v>
      </c>
      <c r="J848" s="458" t="s">
        <v>101</v>
      </c>
      <c r="K848" s="464" t="s">
        <v>812</v>
      </c>
    </row>
    <row r="849" spans="2:11" ht="15.75">
      <c r="B849" s="458" t="s">
        <v>782</v>
      </c>
      <c r="C849" s="458" t="s">
        <v>101</v>
      </c>
      <c r="D849" s="458">
        <v>0.53339000000000003</v>
      </c>
      <c r="E849" s="458"/>
      <c r="F849" s="458"/>
      <c r="G849" s="458"/>
      <c r="H849" s="458">
        <v>0.53339000000000003</v>
      </c>
      <c r="I849" s="458">
        <v>0.53339000000000003</v>
      </c>
      <c r="J849" s="458" t="s">
        <v>101</v>
      </c>
      <c r="K849" s="464" t="s">
        <v>812</v>
      </c>
    </row>
    <row r="850" spans="2:11" ht="15.75">
      <c r="B850" s="458" t="s">
        <v>784</v>
      </c>
      <c r="C850" s="458" t="s">
        <v>101</v>
      </c>
      <c r="D850" s="458">
        <v>0.28049000000000002</v>
      </c>
      <c r="E850" s="458"/>
      <c r="F850" s="458"/>
      <c r="G850" s="458"/>
      <c r="H850" s="458">
        <v>0.28049000000000002</v>
      </c>
      <c r="I850" s="458">
        <v>0.28049000000000002</v>
      </c>
      <c r="J850" s="458" t="s">
        <v>101</v>
      </c>
      <c r="K850" s="464" t="s">
        <v>812</v>
      </c>
    </row>
    <row r="851" spans="2:11" ht="15.75">
      <c r="B851" s="458" t="s">
        <v>787</v>
      </c>
      <c r="C851" s="458" t="s">
        <v>101</v>
      </c>
      <c r="D851" s="458">
        <v>0.90461999999999998</v>
      </c>
      <c r="E851" s="458"/>
      <c r="F851" s="458"/>
      <c r="G851" s="458"/>
      <c r="H851" s="458">
        <v>0.90461999999999998</v>
      </c>
      <c r="I851" s="458">
        <v>0.90461999999999998</v>
      </c>
      <c r="J851" s="458" t="s">
        <v>101</v>
      </c>
      <c r="K851" s="464" t="s">
        <v>812</v>
      </c>
    </row>
    <row r="852" spans="2:11" ht="15.75">
      <c r="B852" s="458" t="s">
        <v>790</v>
      </c>
      <c r="C852" s="458" t="s">
        <v>101</v>
      </c>
      <c r="D852" s="458">
        <v>0.31551999999999997</v>
      </c>
      <c r="E852" s="458"/>
      <c r="F852" s="458"/>
      <c r="G852" s="458"/>
      <c r="H852" s="458">
        <v>0.31551999999999997</v>
      </c>
      <c r="I852" s="458">
        <v>0.31551999999999997</v>
      </c>
      <c r="J852" s="458" t="s">
        <v>101</v>
      </c>
      <c r="K852" s="464" t="s">
        <v>812</v>
      </c>
    </row>
    <row r="853" spans="2:11" ht="15.75">
      <c r="B853" s="458" t="s">
        <v>793</v>
      </c>
      <c r="C853" s="458" t="s">
        <v>101</v>
      </c>
      <c r="D853" s="458">
        <v>0.40258999999999995</v>
      </c>
      <c r="E853" s="458"/>
      <c r="F853" s="458"/>
      <c r="G853" s="458"/>
      <c r="H853" s="458">
        <v>0.40258999999999995</v>
      </c>
      <c r="I853" s="458">
        <v>0.40258999999999995</v>
      </c>
      <c r="J853" s="458" t="s">
        <v>101</v>
      </c>
      <c r="K853" s="464" t="s">
        <v>812</v>
      </c>
    </row>
    <row r="854" spans="2:11" ht="15.75">
      <c r="B854" s="458" t="s">
        <v>796</v>
      </c>
      <c r="C854" s="458" t="s">
        <v>101</v>
      </c>
      <c r="D854" s="458">
        <v>0.19394999999999998</v>
      </c>
      <c r="E854" s="458"/>
      <c r="F854" s="458"/>
      <c r="G854" s="458"/>
      <c r="H854" s="458">
        <v>0.19394999999999998</v>
      </c>
      <c r="I854" s="458">
        <v>0.19394999999999998</v>
      </c>
      <c r="J854" s="458" t="s">
        <v>101</v>
      </c>
      <c r="K854" s="464" t="s">
        <v>812</v>
      </c>
    </row>
    <row r="855" spans="2:11" ht="15.75">
      <c r="B855" s="458" t="s">
        <v>798</v>
      </c>
      <c r="C855" s="458" t="s">
        <v>101</v>
      </c>
      <c r="D855" s="458">
        <v>0.50223000000000007</v>
      </c>
      <c r="E855" s="458"/>
      <c r="F855" s="458"/>
      <c r="G855" s="458"/>
      <c r="H855" s="458">
        <v>0.50223000000000007</v>
      </c>
      <c r="I855" s="458">
        <v>0.50223000000000007</v>
      </c>
      <c r="J855" s="458" t="s">
        <v>101</v>
      </c>
      <c r="K855" s="464" t="s">
        <v>812</v>
      </c>
    </row>
    <row r="856" spans="2:11" ht="15.75">
      <c r="B856" s="458" t="s">
        <v>801</v>
      </c>
      <c r="C856" s="458" t="s">
        <v>101</v>
      </c>
      <c r="D856" s="458">
        <v>0.45091000000000003</v>
      </c>
      <c r="E856" s="458"/>
      <c r="F856" s="458"/>
      <c r="G856" s="458"/>
      <c r="H856" s="458">
        <v>0.45091000000000003</v>
      </c>
      <c r="I856" s="458">
        <v>0.45091000000000003</v>
      </c>
      <c r="J856" s="458" t="s">
        <v>101</v>
      </c>
      <c r="K856" s="464" t="s">
        <v>812</v>
      </c>
    </row>
    <row r="857" spans="2:11" ht="15.75">
      <c r="B857" s="458" t="s">
        <v>804</v>
      </c>
      <c r="C857" s="458" t="s">
        <v>101</v>
      </c>
      <c r="D857" s="458">
        <v>3.7420000000000002E-2</v>
      </c>
      <c r="E857" s="458"/>
      <c r="F857" s="458"/>
      <c r="G857" s="458"/>
      <c r="H857" s="458">
        <v>3.7420000000000002E-2</v>
      </c>
      <c r="I857" s="458">
        <v>3.7420000000000002E-2</v>
      </c>
      <c r="J857" s="458" t="s">
        <v>101</v>
      </c>
      <c r="K857" s="464" t="s">
        <v>812</v>
      </c>
    </row>
    <row r="858" spans="2:11" ht="15.75">
      <c r="B858" s="458" t="s">
        <v>807</v>
      </c>
      <c r="C858" s="458" t="s">
        <v>101</v>
      </c>
      <c r="D858" s="458">
        <v>3.4840000000000003E-2</v>
      </c>
      <c r="E858" s="458"/>
      <c r="F858" s="458"/>
      <c r="G858" s="458"/>
      <c r="H858" s="458">
        <v>3.4840000000000003E-2</v>
      </c>
      <c r="I858" s="458">
        <v>3.4840000000000003E-2</v>
      </c>
      <c r="J858" s="458" t="s">
        <v>101</v>
      </c>
      <c r="K858" s="464" t="s">
        <v>812</v>
      </c>
    </row>
    <row r="863" spans="2:11" ht="45.75" customHeight="1">
      <c r="B863" s="357" t="s">
        <v>813</v>
      </c>
      <c r="C863" s="357" t="s">
        <v>319</v>
      </c>
      <c r="D863" s="357" t="s">
        <v>814</v>
      </c>
      <c r="E863" s="357" t="s">
        <v>815</v>
      </c>
      <c r="F863" s="357" t="s">
        <v>816</v>
      </c>
      <c r="G863" s="357" t="s">
        <v>671</v>
      </c>
      <c r="H863" s="357" t="s">
        <v>817</v>
      </c>
      <c r="I863" s="357" t="s">
        <v>818</v>
      </c>
      <c r="J863" s="357" t="s">
        <v>111</v>
      </c>
      <c r="K863" s="452" t="s">
        <v>112</v>
      </c>
    </row>
    <row r="864" spans="2:11" ht="15.75">
      <c r="B864" s="458" t="s">
        <v>819</v>
      </c>
      <c r="C864" s="424"/>
      <c r="D864" s="424">
        <v>66.33</v>
      </c>
      <c r="E864" s="424">
        <v>1.25E-3</v>
      </c>
      <c r="F864" s="424">
        <v>1.25E-4</v>
      </c>
      <c r="G864" s="425"/>
      <c r="H864" s="425">
        <v>66.398499999999999</v>
      </c>
      <c r="I864" s="424">
        <v>66.398124999999993</v>
      </c>
      <c r="J864" s="424" t="s">
        <v>97</v>
      </c>
      <c r="K864" s="472" t="s">
        <v>820</v>
      </c>
    </row>
    <row r="866" spans="2:13">
      <c r="B866" t="s">
        <v>821</v>
      </c>
    </row>
    <row r="873" spans="2:13" s="247" customFormat="1" ht="23.25">
      <c r="B873" s="247" t="s">
        <v>90</v>
      </c>
    </row>
    <row r="876" spans="2:13" hidden="1"/>
    <row r="877" spans="2:13" ht="15.75" hidden="1">
      <c r="B877" s="218" t="s">
        <v>822</v>
      </c>
      <c r="C877" s="219" t="s">
        <v>823</v>
      </c>
      <c r="D877" s="220"/>
      <c r="E877" s="220"/>
      <c r="F877" s="220"/>
      <c r="G877" s="220"/>
      <c r="H877" s="220"/>
      <c r="I877" s="220"/>
      <c r="J877" s="220"/>
      <c r="K877" s="220"/>
      <c r="L877" s="221"/>
      <c r="M877" s="2"/>
    </row>
    <row r="878" spans="2:13" ht="15.75" hidden="1" thickBot="1">
      <c r="B878" s="2"/>
      <c r="C878" s="2"/>
      <c r="D878" s="2"/>
      <c r="E878" s="2"/>
      <c r="F878" s="2"/>
      <c r="G878" s="2"/>
      <c r="H878" s="2"/>
      <c r="I878" s="2"/>
      <c r="J878" s="2"/>
      <c r="K878" s="2"/>
      <c r="L878" s="2"/>
      <c r="M878" s="2"/>
    </row>
    <row r="879" spans="2:13" ht="15.75" hidden="1" thickBot="1">
      <c r="B879" s="2"/>
      <c r="C879" s="222" t="s">
        <v>824</v>
      </c>
      <c r="D879" s="223" t="s">
        <v>825</v>
      </c>
      <c r="E879" s="224" t="s">
        <v>112</v>
      </c>
      <c r="F879" s="2"/>
      <c r="G879" s="2"/>
      <c r="H879" s="2"/>
      <c r="I879" s="2"/>
      <c r="J879" s="2"/>
      <c r="K879" s="2"/>
      <c r="L879" s="2"/>
      <c r="M879" s="2"/>
    </row>
    <row r="880" spans="2:13" ht="15.75" hidden="1">
      <c r="B880" s="2"/>
      <c r="C880" s="225" t="s">
        <v>826</v>
      </c>
      <c r="D880" s="226">
        <v>1</v>
      </c>
      <c r="E880" s="2"/>
      <c r="F880" s="2"/>
      <c r="G880" s="2"/>
      <c r="H880" s="2"/>
      <c r="I880" s="2"/>
      <c r="J880" s="2"/>
      <c r="K880" s="2"/>
      <c r="L880" s="2"/>
      <c r="M880" s="2"/>
    </row>
    <row r="881" spans="2:13" ht="15.75" hidden="1">
      <c r="B881" s="2"/>
      <c r="C881" s="138" t="s">
        <v>827</v>
      </c>
      <c r="D881" s="227">
        <v>25</v>
      </c>
      <c r="E881" s="2"/>
      <c r="F881" s="2"/>
      <c r="G881" s="2"/>
      <c r="H881" s="2"/>
      <c r="I881" s="2"/>
      <c r="J881" s="2"/>
      <c r="K881" s="2"/>
      <c r="L881" s="2"/>
      <c r="M881" s="2"/>
    </row>
    <row r="882" spans="2:13" ht="15.75" hidden="1">
      <c r="B882" s="2"/>
      <c r="C882" s="138" t="s">
        <v>828</v>
      </c>
      <c r="D882" s="227">
        <v>298</v>
      </c>
      <c r="E882" s="106"/>
      <c r="F882" s="2"/>
      <c r="G882" s="2"/>
      <c r="H882" s="2"/>
      <c r="I882" s="2"/>
      <c r="J882" s="2"/>
      <c r="K882" s="2"/>
      <c r="L882" s="2"/>
      <c r="M882" s="2"/>
    </row>
    <row r="883" spans="2:13" hidden="1">
      <c r="B883" s="2"/>
      <c r="C883" s="138" t="s">
        <v>829</v>
      </c>
      <c r="D883" s="227">
        <v>14800</v>
      </c>
      <c r="E883" s="2"/>
      <c r="F883" s="2"/>
      <c r="G883" s="2"/>
      <c r="H883" s="2"/>
      <c r="I883" s="2"/>
      <c r="J883" s="2"/>
      <c r="K883" s="2"/>
      <c r="L883" s="2"/>
      <c r="M883" s="2"/>
    </row>
    <row r="884" spans="2:13" hidden="1">
      <c r="B884" s="2"/>
      <c r="C884" s="138" t="s">
        <v>830</v>
      </c>
      <c r="D884" s="227">
        <v>675</v>
      </c>
      <c r="E884" s="2"/>
      <c r="F884" s="2"/>
      <c r="G884" s="2"/>
      <c r="H884" s="2"/>
      <c r="I884" s="2"/>
      <c r="J884" s="2"/>
      <c r="K884" s="2"/>
      <c r="L884" s="2"/>
      <c r="M884" s="2"/>
    </row>
    <row r="885" spans="2:13" hidden="1">
      <c r="B885" s="2"/>
      <c r="C885" s="138" t="s">
        <v>831</v>
      </c>
      <c r="D885" s="227">
        <v>92</v>
      </c>
      <c r="E885" s="2"/>
      <c r="F885" s="2"/>
      <c r="G885" s="2"/>
      <c r="H885" s="2"/>
      <c r="I885" s="2"/>
      <c r="J885" s="2"/>
      <c r="K885" s="2"/>
      <c r="L885" s="2"/>
      <c r="M885" s="2"/>
    </row>
    <row r="886" spans="2:13" hidden="1">
      <c r="B886" s="2"/>
      <c r="C886" s="138" t="s">
        <v>832</v>
      </c>
      <c r="D886" s="227">
        <v>3500</v>
      </c>
      <c r="E886" s="2"/>
      <c r="F886" s="2"/>
      <c r="G886" s="904"/>
      <c r="H886" s="904"/>
      <c r="I886" s="904"/>
      <c r="J886" s="904"/>
      <c r="K886" s="904"/>
      <c r="L886" s="904"/>
      <c r="M886" s="904"/>
    </row>
    <row r="887" spans="2:13" hidden="1">
      <c r="B887" s="2"/>
      <c r="C887" s="138" t="s">
        <v>833</v>
      </c>
      <c r="D887" s="227">
        <v>1100</v>
      </c>
      <c r="E887" s="2"/>
      <c r="F887" s="2"/>
      <c r="G887" s="904"/>
      <c r="H887" s="904"/>
      <c r="I887" s="904"/>
      <c r="J887" s="904"/>
      <c r="K887" s="904"/>
      <c r="L887" s="904"/>
      <c r="M887" s="904"/>
    </row>
    <row r="888" spans="2:13" hidden="1">
      <c r="B888" s="2"/>
      <c r="C888" s="138" t="s">
        <v>834</v>
      </c>
      <c r="D888" s="227">
        <v>1430</v>
      </c>
      <c r="E888" s="2"/>
      <c r="F888" s="2"/>
      <c r="G888" s="2"/>
      <c r="H888" s="2"/>
      <c r="I888" s="2"/>
      <c r="J888" s="2"/>
      <c r="K888" s="2"/>
      <c r="L888" s="2"/>
      <c r="M888" s="2"/>
    </row>
    <row r="889" spans="2:13" hidden="1">
      <c r="B889" s="2"/>
      <c r="C889" s="138" t="s">
        <v>835</v>
      </c>
      <c r="D889" s="227">
        <v>353</v>
      </c>
      <c r="E889" s="2"/>
      <c r="F889" s="2"/>
      <c r="G889" s="2"/>
      <c r="H889" s="2"/>
      <c r="I889" s="2"/>
      <c r="J889" s="2"/>
      <c r="K889" s="2"/>
      <c r="L889" s="2"/>
      <c r="M889" s="2"/>
    </row>
    <row r="890" spans="2:13" hidden="1">
      <c r="B890" s="2"/>
      <c r="C890" s="15" t="s">
        <v>836</v>
      </c>
      <c r="D890" s="227">
        <v>4470</v>
      </c>
      <c r="E890" s="2"/>
      <c r="F890" s="2"/>
      <c r="G890" s="2"/>
      <c r="H890" s="2"/>
      <c r="I890" s="2"/>
      <c r="J890" s="2"/>
      <c r="K890" s="2"/>
      <c r="L890" s="2"/>
      <c r="M890" s="2"/>
    </row>
    <row r="891" spans="2:13" hidden="1">
      <c r="B891" s="2"/>
      <c r="C891" s="138" t="s">
        <v>837</v>
      </c>
      <c r="D891" s="227">
        <v>53</v>
      </c>
      <c r="E891" s="2"/>
      <c r="F891" s="2"/>
      <c r="G891" s="2"/>
      <c r="H891" s="2"/>
      <c r="I891" s="2"/>
      <c r="J891" s="2"/>
      <c r="K891" s="2"/>
      <c r="L891" s="2"/>
      <c r="M891" s="2"/>
    </row>
    <row r="892" spans="2:13" hidden="1">
      <c r="B892" s="2"/>
      <c r="C892" s="138" t="s">
        <v>838</v>
      </c>
      <c r="D892" s="227">
        <v>124</v>
      </c>
      <c r="E892" s="2"/>
      <c r="F892" s="2"/>
      <c r="G892" s="2"/>
      <c r="H892" s="2"/>
      <c r="I892" s="2"/>
      <c r="J892" s="2"/>
      <c r="K892" s="2"/>
      <c r="L892" s="2"/>
      <c r="M892" s="2"/>
    </row>
    <row r="893" spans="2:13" hidden="1">
      <c r="B893" s="2"/>
      <c r="C893" s="138" t="s">
        <v>839</v>
      </c>
      <c r="D893" s="227">
        <v>12</v>
      </c>
      <c r="E893" s="2"/>
      <c r="F893" s="2"/>
      <c r="G893" s="2"/>
      <c r="H893" s="2"/>
      <c r="I893" s="2"/>
      <c r="J893" s="2"/>
      <c r="K893" s="2"/>
      <c r="L893" s="2"/>
      <c r="M893" s="2"/>
    </row>
    <row r="894" spans="2:13" hidden="1">
      <c r="B894" s="2"/>
      <c r="C894" s="138" t="s">
        <v>840</v>
      </c>
      <c r="D894" s="227">
        <v>3220</v>
      </c>
      <c r="E894" s="2"/>
      <c r="F894" s="2"/>
      <c r="G894" s="904"/>
      <c r="H894" s="904"/>
      <c r="I894" s="904"/>
      <c r="J894" s="904"/>
      <c r="K894" s="904"/>
      <c r="L894" s="904"/>
      <c r="M894" s="904"/>
    </row>
    <row r="895" spans="2:13" hidden="1">
      <c r="B895" s="2"/>
      <c r="C895" s="138" t="s">
        <v>841</v>
      </c>
      <c r="D895" s="227">
        <v>1340</v>
      </c>
      <c r="E895" s="2"/>
      <c r="F895" s="2"/>
      <c r="G895" s="904"/>
      <c r="H895" s="904"/>
      <c r="I895" s="904"/>
      <c r="J895" s="904"/>
      <c r="K895" s="904"/>
      <c r="L895" s="904"/>
      <c r="M895" s="904"/>
    </row>
    <row r="896" spans="2:13" hidden="1">
      <c r="B896" s="2"/>
      <c r="C896" s="138" t="s">
        <v>842</v>
      </c>
      <c r="D896" s="227">
        <v>1370</v>
      </c>
      <c r="E896" s="2"/>
      <c r="F896" s="2"/>
      <c r="G896" s="2"/>
      <c r="H896" s="2"/>
      <c r="I896" s="2"/>
      <c r="J896" s="2"/>
      <c r="K896" s="2"/>
      <c r="L896" s="2"/>
      <c r="M896" s="2"/>
    </row>
    <row r="897" spans="2:13" hidden="1">
      <c r="B897" s="2"/>
      <c r="C897" s="138" t="s">
        <v>843</v>
      </c>
      <c r="D897" s="227">
        <v>9810</v>
      </c>
      <c r="E897" s="2"/>
      <c r="F897" s="2"/>
      <c r="G897" s="2"/>
      <c r="H897" s="2"/>
      <c r="I897" s="2"/>
      <c r="J897" s="2"/>
      <c r="K897" s="2"/>
      <c r="L897" s="2"/>
      <c r="M897" s="2"/>
    </row>
    <row r="898" spans="2:13" hidden="1">
      <c r="B898" s="2"/>
      <c r="C898" s="15" t="s">
        <v>844</v>
      </c>
      <c r="D898" s="227">
        <v>693</v>
      </c>
      <c r="E898" s="2"/>
      <c r="F898" s="2"/>
      <c r="G898" s="2"/>
      <c r="H898" s="2"/>
      <c r="I898" s="2"/>
      <c r="J898" s="2"/>
      <c r="K898" s="2"/>
      <c r="L898" s="2"/>
      <c r="M898" s="2"/>
    </row>
    <row r="899" spans="2:13" hidden="1">
      <c r="B899" s="2"/>
      <c r="C899" s="138" t="s">
        <v>845</v>
      </c>
      <c r="D899" s="227">
        <v>1030</v>
      </c>
      <c r="E899" s="2"/>
      <c r="F899" s="2"/>
      <c r="G899" s="2"/>
      <c r="H899" s="2"/>
      <c r="I899" s="2"/>
      <c r="J899" s="2"/>
      <c r="K899" s="2"/>
      <c r="L899" s="2"/>
      <c r="M899" s="2"/>
    </row>
    <row r="900" spans="2:13" hidden="1">
      <c r="B900" s="2"/>
      <c r="C900" s="138" t="s">
        <v>846</v>
      </c>
      <c r="D900" s="227">
        <v>794</v>
      </c>
      <c r="E900" s="2"/>
      <c r="F900" s="2"/>
      <c r="G900" s="2"/>
      <c r="H900" s="2"/>
      <c r="I900" s="2"/>
      <c r="J900" s="2"/>
      <c r="K900" s="2"/>
      <c r="L900" s="2"/>
      <c r="M900" s="2"/>
    </row>
    <row r="901" spans="2:13" hidden="1">
      <c r="B901" s="2"/>
      <c r="C901" s="15" t="s">
        <v>847</v>
      </c>
      <c r="D901" s="227">
        <v>1640</v>
      </c>
      <c r="E901" s="2"/>
      <c r="F901" s="2"/>
      <c r="G901" s="2"/>
      <c r="H901" s="2"/>
      <c r="I901" s="2"/>
      <c r="J901" s="2"/>
      <c r="K901" s="2"/>
      <c r="L901" s="2"/>
      <c r="M901" s="2"/>
    </row>
    <row r="902" spans="2:13" ht="15.75" hidden="1">
      <c r="B902" s="2"/>
      <c r="C902" s="138" t="s">
        <v>848</v>
      </c>
      <c r="D902" s="227">
        <v>22800</v>
      </c>
      <c r="E902" s="2"/>
      <c r="F902" s="2"/>
      <c r="G902" s="2"/>
      <c r="H902" s="2"/>
      <c r="I902" s="2"/>
      <c r="J902" s="2"/>
      <c r="K902" s="2"/>
      <c r="L902" s="2"/>
      <c r="M902" s="2"/>
    </row>
    <row r="903" spans="2:13" ht="15.75" hidden="1">
      <c r="B903" s="2"/>
      <c r="C903" s="138" t="s">
        <v>849</v>
      </c>
      <c r="D903" s="227">
        <v>17200</v>
      </c>
      <c r="E903" s="2"/>
      <c r="F903" s="2"/>
      <c r="G903" s="2"/>
      <c r="H903" s="2"/>
      <c r="I903" s="2"/>
      <c r="J903" s="2"/>
      <c r="K903" s="2"/>
      <c r="L903" s="2"/>
      <c r="M903" s="2"/>
    </row>
    <row r="904" spans="2:13" ht="15.75" hidden="1">
      <c r="B904" s="2"/>
      <c r="C904" s="15" t="s">
        <v>850</v>
      </c>
      <c r="D904" s="227">
        <v>7390</v>
      </c>
      <c r="E904" s="2"/>
      <c r="F904" s="2"/>
      <c r="G904" s="2"/>
      <c r="H904" s="2"/>
      <c r="I904" s="2"/>
      <c r="J904" s="2"/>
      <c r="K904" s="2"/>
      <c r="L904" s="2"/>
      <c r="M904" s="2"/>
    </row>
    <row r="905" spans="2:13" ht="15.75" hidden="1">
      <c r="B905" s="2"/>
      <c r="C905" s="15" t="s">
        <v>851</v>
      </c>
      <c r="D905" s="227">
        <v>12200</v>
      </c>
      <c r="E905" s="2"/>
      <c r="F905" s="2"/>
      <c r="G905" s="2"/>
      <c r="H905" s="2"/>
      <c r="I905" s="2"/>
      <c r="J905" s="2"/>
      <c r="K905" s="2"/>
      <c r="L905" s="2"/>
      <c r="M905" s="2"/>
    </row>
    <row r="906" spans="2:13" ht="15.75" hidden="1">
      <c r="B906" s="2"/>
      <c r="C906" s="15" t="s">
        <v>852</v>
      </c>
      <c r="D906" s="227">
        <v>8830</v>
      </c>
      <c r="E906" s="2"/>
      <c r="F906" s="2"/>
      <c r="G906" s="2"/>
      <c r="H906" s="2"/>
      <c r="I906" s="2"/>
      <c r="J906" s="2"/>
      <c r="K906" s="2"/>
      <c r="L906" s="2"/>
      <c r="M906" s="2"/>
    </row>
    <row r="907" spans="2:13" ht="15.75" hidden="1">
      <c r="B907" s="2"/>
      <c r="C907" s="15" t="s">
        <v>853</v>
      </c>
      <c r="D907" s="228">
        <v>10300</v>
      </c>
      <c r="E907" s="2"/>
      <c r="F907" s="2"/>
      <c r="G907" s="2"/>
      <c r="H907" s="2"/>
      <c r="I907" s="2"/>
      <c r="J907" s="2"/>
      <c r="K907" s="2"/>
      <c r="L907" s="2"/>
      <c r="M907" s="2"/>
    </row>
    <row r="908" spans="2:13" ht="15.75" hidden="1">
      <c r="B908" s="2"/>
      <c r="C908" s="15" t="s">
        <v>854</v>
      </c>
      <c r="D908" s="227">
        <v>8860</v>
      </c>
      <c r="E908" s="2"/>
      <c r="F908" s="2"/>
      <c r="G908" s="2"/>
      <c r="H908" s="2"/>
      <c r="I908" s="2"/>
      <c r="J908" s="2"/>
      <c r="K908" s="2"/>
      <c r="L908" s="2"/>
      <c r="M908" s="2"/>
    </row>
    <row r="909" spans="2:13" ht="15.75" hidden="1">
      <c r="B909" s="2"/>
      <c r="C909" s="15" t="s">
        <v>855</v>
      </c>
      <c r="D909" s="227">
        <v>9160</v>
      </c>
      <c r="E909" s="2"/>
      <c r="F909" s="2"/>
      <c r="G909" s="2"/>
      <c r="H909" s="2"/>
      <c r="I909" s="2"/>
      <c r="J909" s="2"/>
      <c r="K909" s="2"/>
      <c r="L909" s="2"/>
      <c r="M909" s="2"/>
    </row>
    <row r="910" spans="2:13" ht="15.75" hidden="1">
      <c r="B910" s="2"/>
      <c r="C910" s="15" t="s">
        <v>856</v>
      </c>
      <c r="D910" s="227">
        <v>9300</v>
      </c>
      <c r="E910" s="2"/>
      <c r="F910" s="2"/>
      <c r="G910" s="2"/>
      <c r="H910" s="2"/>
      <c r="I910" s="2"/>
      <c r="J910" s="2"/>
      <c r="K910" s="2"/>
      <c r="L910" s="2"/>
      <c r="M910" s="2"/>
    </row>
    <row r="911" spans="2:13" ht="16.5" hidden="1" thickBot="1">
      <c r="B911" s="2"/>
      <c r="C911" s="148" t="s">
        <v>857</v>
      </c>
      <c r="D911" s="229" t="s">
        <v>858</v>
      </c>
      <c r="E911" s="2"/>
      <c r="F911" s="2"/>
      <c r="G911" s="2"/>
      <c r="H911" s="2"/>
      <c r="I911" s="2"/>
      <c r="J911" s="2"/>
      <c r="K911" s="2"/>
      <c r="L911" s="2"/>
      <c r="M911" s="2"/>
    </row>
    <row r="912" spans="2:13" hidden="1">
      <c r="B912" s="2"/>
      <c r="C912" s="893" t="s">
        <v>859</v>
      </c>
      <c r="D912" s="893"/>
      <c r="E912" s="893"/>
      <c r="F912" s="893"/>
      <c r="G912" s="893"/>
      <c r="H912" s="893"/>
      <c r="I912" s="893"/>
      <c r="J912" s="893"/>
      <c r="K912" s="893"/>
      <c r="L912" s="905"/>
      <c r="M912" s="2"/>
    </row>
    <row r="913" spans="2:13" hidden="1">
      <c r="B913" s="2"/>
      <c r="C913" s="2"/>
      <c r="D913" s="2"/>
      <c r="E913" s="2"/>
      <c r="F913" s="2"/>
      <c r="G913" s="2"/>
      <c r="H913" s="2"/>
      <c r="I913" s="2"/>
      <c r="J913" s="2"/>
      <c r="K913" s="2"/>
      <c r="L913" s="2"/>
      <c r="M913" s="2"/>
    </row>
    <row r="914" spans="2:13" ht="15.75" hidden="1">
      <c r="B914" s="218" t="s">
        <v>860</v>
      </c>
      <c r="C914" s="219" t="s">
        <v>861</v>
      </c>
      <c r="D914" s="220"/>
      <c r="E914" s="220"/>
      <c r="F914" s="220"/>
      <c r="G914" s="220"/>
      <c r="H914" s="220"/>
      <c r="I914" s="220"/>
      <c r="J914" s="220"/>
      <c r="K914" s="220"/>
      <c r="L914" s="221"/>
      <c r="M914" s="2"/>
    </row>
    <row r="915" spans="2:13" ht="16.5" hidden="1" thickBot="1">
      <c r="B915" s="230"/>
      <c r="C915" s="231"/>
      <c r="D915" s="2"/>
      <c r="E915" s="2"/>
      <c r="F915" s="2"/>
      <c r="G915" s="2"/>
      <c r="H915" s="2"/>
      <c r="I915" s="2"/>
      <c r="J915" s="2"/>
      <c r="K915" s="2"/>
      <c r="L915" s="2"/>
      <c r="M915" s="2"/>
    </row>
    <row r="916" spans="2:13" ht="15.75" hidden="1" thickBot="1">
      <c r="B916" s="2"/>
      <c r="C916" s="232" t="s">
        <v>862</v>
      </c>
      <c r="D916" s="233" t="s">
        <v>863</v>
      </c>
      <c r="E916" s="898" t="s">
        <v>864</v>
      </c>
      <c r="F916" s="899"/>
      <c r="G916" s="899"/>
      <c r="H916" s="900"/>
      <c r="I916" s="2"/>
      <c r="J916" s="2"/>
      <c r="K916" s="2"/>
      <c r="L916" s="2"/>
      <c r="M916" s="2"/>
    </row>
    <row r="917" spans="2:13" hidden="1">
      <c r="B917" s="2"/>
      <c r="C917" s="162" t="s">
        <v>865</v>
      </c>
      <c r="D917" s="234">
        <v>16</v>
      </c>
      <c r="E917" s="901" t="s">
        <v>866</v>
      </c>
      <c r="F917" s="902"/>
      <c r="G917" s="902"/>
      <c r="H917" s="903"/>
      <c r="I917" s="235"/>
      <c r="J917" s="2"/>
      <c r="K917" s="2"/>
      <c r="L917" s="2"/>
      <c r="M917" s="2"/>
    </row>
    <row r="918" spans="2:13" hidden="1">
      <c r="B918" s="2"/>
      <c r="C918" s="15" t="s">
        <v>867</v>
      </c>
      <c r="D918" s="236">
        <v>14</v>
      </c>
      <c r="E918" s="887" t="s">
        <v>868</v>
      </c>
      <c r="F918" s="888"/>
      <c r="G918" s="888"/>
      <c r="H918" s="889"/>
      <c r="I918" s="235"/>
      <c r="J918" s="2"/>
      <c r="K918" s="2"/>
      <c r="L918" s="2"/>
      <c r="M918" s="2"/>
    </row>
    <row r="919" spans="2:13" hidden="1">
      <c r="B919" s="2"/>
      <c r="C919" s="15" t="s">
        <v>869</v>
      </c>
      <c r="D919" s="236">
        <v>19</v>
      </c>
      <c r="E919" s="887" t="s">
        <v>870</v>
      </c>
      <c r="F919" s="888"/>
      <c r="G919" s="888"/>
      <c r="H919" s="889"/>
      <c r="I919" s="235"/>
      <c r="J919" s="2"/>
      <c r="K919" s="2"/>
      <c r="L919" s="2"/>
      <c r="M919" s="2"/>
    </row>
    <row r="920" spans="2:13" hidden="1">
      <c r="B920" s="2"/>
      <c r="C920" s="15" t="s">
        <v>871</v>
      </c>
      <c r="D920" s="236">
        <v>2100</v>
      </c>
      <c r="E920" s="887" t="s">
        <v>872</v>
      </c>
      <c r="F920" s="888"/>
      <c r="G920" s="888"/>
      <c r="H920" s="889"/>
      <c r="I920" s="235"/>
      <c r="J920" s="2"/>
      <c r="K920" s="2"/>
      <c r="L920" s="2"/>
      <c r="M920" s="2"/>
    </row>
    <row r="921" spans="2:13" hidden="1">
      <c r="B921" s="2"/>
      <c r="C921" s="15" t="s">
        <v>873</v>
      </c>
      <c r="D921" s="236">
        <v>1330</v>
      </c>
      <c r="E921" s="887" t="s">
        <v>874</v>
      </c>
      <c r="F921" s="888"/>
      <c r="G921" s="888"/>
      <c r="H921" s="889"/>
      <c r="I921" s="235"/>
      <c r="J921" s="2"/>
      <c r="K921" s="2"/>
      <c r="L921" s="2"/>
      <c r="M921" s="2"/>
    </row>
    <row r="922" spans="2:13" hidden="1">
      <c r="B922" s="2"/>
      <c r="C922" s="15" t="s">
        <v>875</v>
      </c>
      <c r="D922" s="236">
        <v>3444</v>
      </c>
      <c r="E922" s="887" t="s">
        <v>876</v>
      </c>
      <c r="F922" s="888"/>
      <c r="G922" s="888"/>
      <c r="H922" s="889"/>
      <c r="I922" s="235"/>
      <c r="J922" s="2"/>
      <c r="K922" s="2"/>
      <c r="L922" s="2"/>
      <c r="M922" s="2"/>
    </row>
    <row r="923" spans="2:13" hidden="1">
      <c r="B923" s="2"/>
      <c r="C923" s="15" t="s">
        <v>877</v>
      </c>
      <c r="D923" s="236">
        <v>3922</v>
      </c>
      <c r="E923" s="887" t="s">
        <v>878</v>
      </c>
      <c r="F923" s="888"/>
      <c r="G923" s="888"/>
      <c r="H923" s="889"/>
      <c r="I923" s="235"/>
      <c r="J923" s="2"/>
      <c r="K923" s="2"/>
      <c r="L923" s="2"/>
      <c r="M923" s="2"/>
    </row>
    <row r="924" spans="2:13" hidden="1">
      <c r="B924" s="2"/>
      <c r="C924" s="15" t="s">
        <v>879</v>
      </c>
      <c r="D924" s="236">
        <v>0</v>
      </c>
      <c r="E924" s="887" t="s">
        <v>880</v>
      </c>
      <c r="F924" s="888"/>
      <c r="G924" s="888"/>
      <c r="H924" s="889"/>
      <c r="I924" s="235"/>
      <c r="J924" s="2"/>
      <c r="K924" s="2"/>
      <c r="L924" s="2"/>
      <c r="M924" s="2"/>
    </row>
    <row r="925" spans="2:13" hidden="1">
      <c r="B925" s="2"/>
      <c r="C925" s="15" t="s">
        <v>881</v>
      </c>
      <c r="D925" s="236">
        <v>2107</v>
      </c>
      <c r="E925" s="887" t="s">
        <v>882</v>
      </c>
      <c r="F925" s="888"/>
      <c r="G925" s="888"/>
      <c r="H925" s="889"/>
      <c r="I925" s="235"/>
      <c r="J925" s="2"/>
      <c r="K925" s="2"/>
      <c r="L925" s="2"/>
      <c r="M925" s="2"/>
    </row>
    <row r="926" spans="2:13" hidden="1">
      <c r="B926" s="2"/>
      <c r="C926" s="15" t="s">
        <v>883</v>
      </c>
      <c r="D926" s="236">
        <v>2804</v>
      </c>
      <c r="E926" s="887" t="s">
        <v>884</v>
      </c>
      <c r="F926" s="888"/>
      <c r="G926" s="888"/>
      <c r="H926" s="889"/>
      <c r="I926" s="235"/>
      <c r="J926" s="2"/>
      <c r="K926" s="2"/>
      <c r="L926" s="2"/>
      <c r="M926" s="2"/>
    </row>
    <row r="927" spans="2:13" hidden="1">
      <c r="B927" s="2"/>
      <c r="C927" s="15" t="s">
        <v>885</v>
      </c>
      <c r="D927" s="236">
        <v>1774</v>
      </c>
      <c r="E927" s="887" t="s">
        <v>886</v>
      </c>
      <c r="F927" s="888"/>
      <c r="G927" s="888"/>
      <c r="H927" s="889"/>
      <c r="I927" s="235"/>
      <c r="J927" s="2"/>
      <c r="K927" s="2"/>
      <c r="L927" s="2"/>
      <c r="M927" s="2"/>
    </row>
    <row r="928" spans="2:13" hidden="1">
      <c r="B928" s="2"/>
      <c r="C928" s="15" t="s">
        <v>887</v>
      </c>
      <c r="D928" s="236">
        <v>1627</v>
      </c>
      <c r="E928" s="887" t="s">
        <v>888</v>
      </c>
      <c r="F928" s="888"/>
      <c r="G928" s="888"/>
      <c r="H928" s="889"/>
      <c r="I928" s="235"/>
      <c r="J928" s="2"/>
      <c r="K928" s="2"/>
      <c r="L928" s="2"/>
      <c r="M928" s="2"/>
    </row>
    <row r="929" spans="2:13" hidden="1">
      <c r="B929" s="2"/>
      <c r="C929" s="15" t="s">
        <v>889</v>
      </c>
      <c r="D929" s="236">
        <v>1552</v>
      </c>
      <c r="E929" s="887" t="s">
        <v>890</v>
      </c>
      <c r="F929" s="888"/>
      <c r="G929" s="888"/>
      <c r="H929" s="889"/>
      <c r="I929" s="235"/>
      <c r="J929" s="2"/>
      <c r="K929" s="2"/>
      <c r="L929" s="2"/>
      <c r="M929" s="2"/>
    </row>
    <row r="930" spans="2:13" hidden="1">
      <c r="B930" s="2"/>
      <c r="C930" s="15" t="s">
        <v>891</v>
      </c>
      <c r="D930" s="236">
        <v>2301</v>
      </c>
      <c r="E930" s="887" t="s">
        <v>892</v>
      </c>
      <c r="F930" s="888"/>
      <c r="G930" s="888"/>
      <c r="H930" s="889"/>
      <c r="I930" s="235"/>
      <c r="J930" s="2"/>
      <c r="K930" s="2"/>
      <c r="L930" s="2"/>
      <c r="M930" s="2"/>
    </row>
    <row r="931" spans="2:13" hidden="1">
      <c r="B931" s="2"/>
      <c r="C931" s="15" t="s">
        <v>893</v>
      </c>
      <c r="D931" s="236">
        <v>0</v>
      </c>
      <c r="E931" s="887" t="s">
        <v>894</v>
      </c>
      <c r="F931" s="888"/>
      <c r="G931" s="888"/>
      <c r="H931" s="889"/>
      <c r="I931" s="235"/>
      <c r="J931" s="2"/>
      <c r="K931" s="2"/>
      <c r="L931" s="2"/>
      <c r="M931" s="2"/>
    </row>
    <row r="932" spans="2:13" hidden="1">
      <c r="B932" s="2"/>
      <c r="C932" s="15" t="s">
        <v>895</v>
      </c>
      <c r="D932" s="236">
        <v>2088</v>
      </c>
      <c r="E932" s="887" t="s">
        <v>896</v>
      </c>
      <c r="F932" s="888"/>
      <c r="G932" s="888"/>
      <c r="H932" s="889"/>
      <c r="I932" s="235"/>
      <c r="J932" s="2"/>
      <c r="K932" s="2"/>
      <c r="L932" s="2"/>
      <c r="M932" s="2"/>
    </row>
    <row r="933" spans="2:13" hidden="1">
      <c r="B933" s="2"/>
      <c r="C933" s="15" t="s">
        <v>897</v>
      </c>
      <c r="D933" s="236">
        <v>2229</v>
      </c>
      <c r="E933" s="887" t="s">
        <v>898</v>
      </c>
      <c r="F933" s="888"/>
      <c r="G933" s="888"/>
      <c r="H933" s="889"/>
      <c r="I933" s="235"/>
      <c r="J933" s="2"/>
      <c r="K933" s="2"/>
      <c r="L933" s="2"/>
      <c r="M933" s="2"/>
    </row>
    <row r="934" spans="2:13" hidden="1">
      <c r="B934" s="2"/>
      <c r="C934" s="15" t="s">
        <v>899</v>
      </c>
      <c r="D934" s="236">
        <v>14</v>
      </c>
      <c r="E934" s="887" t="s">
        <v>900</v>
      </c>
      <c r="F934" s="888"/>
      <c r="G934" s="888"/>
      <c r="H934" s="889"/>
      <c r="I934" s="235"/>
      <c r="J934" s="2"/>
      <c r="K934" s="2"/>
      <c r="L934" s="2"/>
      <c r="M934" s="2"/>
    </row>
    <row r="935" spans="2:13" hidden="1">
      <c r="B935" s="2"/>
      <c r="C935" s="15" t="s">
        <v>901</v>
      </c>
      <c r="D935" s="236">
        <v>4</v>
      </c>
      <c r="E935" s="887" t="s">
        <v>902</v>
      </c>
      <c r="F935" s="888"/>
      <c r="G935" s="888"/>
      <c r="H935" s="889"/>
      <c r="I935" s="235"/>
      <c r="J935" s="2"/>
      <c r="K935" s="2"/>
      <c r="L935" s="2"/>
      <c r="M935" s="2"/>
    </row>
    <row r="936" spans="2:13" hidden="1">
      <c r="B936" s="2"/>
      <c r="C936" s="15" t="s">
        <v>903</v>
      </c>
      <c r="D936" s="236">
        <v>2053</v>
      </c>
      <c r="E936" s="887" t="s">
        <v>904</v>
      </c>
      <c r="F936" s="888"/>
      <c r="G936" s="888"/>
      <c r="H936" s="889"/>
      <c r="I936" s="235"/>
      <c r="J936" s="2"/>
      <c r="K936" s="2"/>
      <c r="L936" s="2"/>
      <c r="M936" s="2"/>
    </row>
    <row r="937" spans="2:13" hidden="1">
      <c r="B937" s="2"/>
      <c r="C937" s="15" t="s">
        <v>905</v>
      </c>
      <c r="D937" s="236">
        <v>0</v>
      </c>
      <c r="E937" s="887" t="s">
        <v>906</v>
      </c>
      <c r="F937" s="888"/>
      <c r="G937" s="888"/>
      <c r="H937" s="889"/>
      <c r="I937" s="235"/>
      <c r="J937" s="2"/>
      <c r="K937" s="2"/>
      <c r="L937" s="2"/>
      <c r="M937" s="2"/>
    </row>
    <row r="938" spans="2:13" hidden="1">
      <c r="B938" s="2"/>
      <c r="C938" s="15" t="s">
        <v>907</v>
      </c>
      <c r="D938" s="236">
        <v>0</v>
      </c>
      <c r="E938" s="887" t="s">
        <v>908</v>
      </c>
      <c r="F938" s="888"/>
      <c r="G938" s="888"/>
      <c r="H938" s="889"/>
      <c r="I938" s="235"/>
      <c r="J938" s="2"/>
      <c r="K938" s="2"/>
      <c r="L938" s="2"/>
      <c r="M938" s="2"/>
    </row>
    <row r="939" spans="2:13" hidden="1">
      <c r="B939" s="2"/>
      <c r="C939" s="15" t="s">
        <v>909</v>
      </c>
      <c r="D939" s="236">
        <v>2346</v>
      </c>
      <c r="E939" s="887" t="s">
        <v>910</v>
      </c>
      <c r="F939" s="888"/>
      <c r="G939" s="888"/>
      <c r="H939" s="889"/>
      <c r="I939" s="235"/>
      <c r="J939" s="2"/>
      <c r="K939" s="2"/>
      <c r="L939" s="2"/>
      <c r="M939" s="2"/>
    </row>
    <row r="940" spans="2:13" hidden="1">
      <c r="B940" s="2"/>
      <c r="C940" s="15" t="s">
        <v>911</v>
      </c>
      <c r="D940" s="236">
        <v>3143</v>
      </c>
      <c r="E940" s="887" t="s">
        <v>912</v>
      </c>
      <c r="F940" s="888"/>
      <c r="G940" s="888"/>
      <c r="H940" s="889"/>
      <c r="I940" s="235"/>
      <c r="J940" s="2"/>
      <c r="K940" s="2"/>
      <c r="L940" s="2"/>
      <c r="M940" s="2"/>
    </row>
    <row r="941" spans="2:13" hidden="1">
      <c r="B941" s="2"/>
      <c r="C941" s="15" t="s">
        <v>913</v>
      </c>
      <c r="D941" s="236">
        <v>2729</v>
      </c>
      <c r="E941" s="887" t="s">
        <v>914</v>
      </c>
      <c r="F941" s="888"/>
      <c r="G941" s="888"/>
      <c r="H941" s="889"/>
      <c r="I941" s="235"/>
      <c r="J941" s="2"/>
      <c r="K941" s="2"/>
      <c r="L941" s="2"/>
      <c r="M941" s="2"/>
    </row>
    <row r="942" spans="2:13" hidden="1">
      <c r="B942" s="2"/>
      <c r="C942" s="15" t="s">
        <v>915</v>
      </c>
      <c r="D942" s="236">
        <v>2280</v>
      </c>
      <c r="E942" s="887" t="s">
        <v>916</v>
      </c>
      <c r="F942" s="888"/>
      <c r="G942" s="888"/>
      <c r="H942" s="889"/>
      <c r="I942" s="235"/>
      <c r="J942" s="2"/>
      <c r="K942" s="2"/>
      <c r="L942" s="2"/>
      <c r="M942" s="2"/>
    </row>
    <row r="943" spans="2:13" hidden="1">
      <c r="B943" s="2"/>
      <c r="C943" s="15" t="s">
        <v>917</v>
      </c>
      <c r="D943" s="236">
        <v>2440</v>
      </c>
      <c r="E943" s="895" t="s">
        <v>918</v>
      </c>
      <c r="F943" s="896"/>
      <c r="G943" s="896"/>
      <c r="H943" s="897"/>
      <c r="I943" s="235"/>
      <c r="J943" s="2"/>
      <c r="K943" s="2"/>
      <c r="L943" s="2"/>
      <c r="M943" s="2"/>
    </row>
    <row r="944" spans="2:13" hidden="1">
      <c r="B944" s="2"/>
      <c r="C944" s="15" t="s">
        <v>919</v>
      </c>
      <c r="D944" s="236">
        <v>1508</v>
      </c>
      <c r="E944" s="895" t="s">
        <v>920</v>
      </c>
      <c r="F944" s="896"/>
      <c r="G944" s="896"/>
      <c r="H944" s="897"/>
      <c r="I944" s="235"/>
      <c r="J944" s="2"/>
      <c r="K944" s="2"/>
      <c r="L944" s="2"/>
      <c r="M944" s="2"/>
    </row>
    <row r="945" spans="1:14" hidden="1">
      <c r="B945" s="2"/>
      <c r="C945" s="15" t="s">
        <v>921</v>
      </c>
      <c r="D945" s="236">
        <v>3607</v>
      </c>
      <c r="E945" s="887" t="s">
        <v>922</v>
      </c>
      <c r="F945" s="888"/>
      <c r="G945" s="888"/>
      <c r="H945" s="889"/>
      <c r="I945" s="235"/>
      <c r="J945" s="2"/>
      <c r="K945" s="2"/>
      <c r="L945" s="2"/>
      <c r="M945" s="2"/>
    </row>
    <row r="946" spans="1:14" hidden="1">
      <c r="B946" s="2"/>
      <c r="C946" s="15" t="s">
        <v>923</v>
      </c>
      <c r="D946" s="237">
        <v>3245</v>
      </c>
      <c r="E946" s="895" t="s">
        <v>924</v>
      </c>
      <c r="F946" s="896"/>
      <c r="G946" s="896"/>
      <c r="H946" s="897"/>
      <c r="I946" s="235"/>
      <c r="J946" s="2"/>
      <c r="K946" s="2"/>
      <c r="L946" s="2"/>
      <c r="M946" s="2"/>
    </row>
    <row r="947" spans="1:14" hidden="1">
      <c r="B947" s="2"/>
      <c r="C947" s="238" t="s">
        <v>925</v>
      </c>
      <c r="D947" s="236">
        <v>32</v>
      </c>
      <c r="E947" s="887" t="s">
        <v>926</v>
      </c>
      <c r="F947" s="888"/>
      <c r="G947" s="888"/>
      <c r="H947" s="889"/>
      <c r="I947" s="235"/>
      <c r="J947" s="2"/>
      <c r="K947" s="2"/>
      <c r="L947" s="2"/>
      <c r="M947" s="2"/>
    </row>
    <row r="948" spans="1:14" hidden="1">
      <c r="B948" s="2"/>
      <c r="C948" s="238" t="s">
        <v>927</v>
      </c>
      <c r="D948" s="236">
        <v>0</v>
      </c>
      <c r="E948" s="887" t="s">
        <v>928</v>
      </c>
      <c r="F948" s="888"/>
      <c r="G948" s="888"/>
      <c r="H948" s="889"/>
      <c r="I948" s="235"/>
      <c r="J948" s="2"/>
      <c r="K948" s="2"/>
      <c r="L948" s="2"/>
      <c r="M948" s="2"/>
    </row>
    <row r="949" spans="1:14" hidden="1">
      <c r="B949" s="2"/>
      <c r="C949" s="238" t="s">
        <v>929</v>
      </c>
      <c r="D949" s="236">
        <v>325</v>
      </c>
      <c r="E949" s="887" t="s">
        <v>930</v>
      </c>
      <c r="F949" s="888"/>
      <c r="G949" s="888"/>
      <c r="H949" s="889"/>
      <c r="I949" s="235"/>
      <c r="J949" s="2"/>
      <c r="K949" s="2"/>
      <c r="L949" s="2"/>
      <c r="M949" s="2"/>
    </row>
    <row r="950" spans="1:14" hidden="1">
      <c r="B950" s="2"/>
      <c r="C950" s="238" t="s">
        <v>931</v>
      </c>
      <c r="D950" s="236">
        <v>3985</v>
      </c>
      <c r="E950" s="887" t="s">
        <v>932</v>
      </c>
      <c r="F950" s="888"/>
      <c r="G950" s="888"/>
      <c r="H950" s="889"/>
      <c r="I950" s="235"/>
      <c r="J950" s="2"/>
      <c r="K950" s="2"/>
      <c r="L950" s="2"/>
      <c r="M950" s="2"/>
    </row>
    <row r="951" spans="1:14" hidden="1">
      <c r="B951" s="2"/>
      <c r="C951" s="15" t="s">
        <v>933</v>
      </c>
      <c r="D951" s="236">
        <v>13214</v>
      </c>
      <c r="E951" s="887" t="s">
        <v>934</v>
      </c>
      <c r="F951" s="888"/>
      <c r="G951" s="888"/>
      <c r="H951" s="889"/>
      <c r="I951" s="235"/>
      <c r="J951" s="2"/>
      <c r="K951" s="2"/>
      <c r="L951" s="2"/>
      <c r="M951" s="2"/>
    </row>
    <row r="952" spans="1:14" ht="15.75" hidden="1" thickBot="1">
      <c r="B952" s="2"/>
      <c r="C952" s="148" t="s">
        <v>935</v>
      </c>
      <c r="D952" s="239">
        <v>13396</v>
      </c>
      <c r="E952" s="890" t="s">
        <v>936</v>
      </c>
      <c r="F952" s="891"/>
      <c r="G952" s="891"/>
      <c r="H952" s="892"/>
      <c r="I952" s="235"/>
      <c r="J952" s="2"/>
      <c r="K952" s="2"/>
      <c r="L952" s="2"/>
      <c r="M952" s="2"/>
    </row>
    <row r="953" spans="1:14" hidden="1">
      <c r="B953" s="92"/>
      <c r="C953" s="893" t="s">
        <v>937</v>
      </c>
      <c r="D953" s="893"/>
      <c r="E953" s="893"/>
      <c r="F953" s="893"/>
      <c r="G953" s="893"/>
      <c r="H953" s="893"/>
      <c r="I953" s="893"/>
      <c r="J953" s="893"/>
      <c r="K953" s="893"/>
      <c r="L953" s="60"/>
      <c r="M953" s="144"/>
    </row>
    <row r="954" spans="1:14" hidden="1">
      <c r="F954" s="894"/>
      <c r="G954" s="894"/>
      <c r="H954" s="894"/>
      <c r="I954" s="894"/>
      <c r="J954" s="894"/>
      <c r="K954" s="894"/>
      <c r="L954" s="894"/>
      <c r="M954" s="894"/>
      <c r="N954" s="894"/>
    </row>
    <row r="955" spans="1:14">
      <c r="B955" s="207" t="s">
        <v>938</v>
      </c>
    </row>
    <row r="956" spans="1:14" hidden="1"/>
    <row r="957" spans="1:14" ht="18.75" hidden="1">
      <c r="B957" s="482" t="s">
        <v>939</v>
      </c>
      <c r="C957" s="449" t="s">
        <v>817</v>
      </c>
      <c r="D957" s="449" t="s">
        <v>818</v>
      </c>
      <c r="E957" s="449" t="s">
        <v>864</v>
      </c>
      <c r="F957" s="449" t="s">
        <v>112</v>
      </c>
    </row>
    <row r="958" spans="1:14" ht="15.75" hidden="1">
      <c r="A958" s="217" t="s">
        <v>940</v>
      </c>
      <c r="B958" s="463" t="s">
        <v>941</v>
      </c>
      <c r="C958" s="458">
        <v>1</v>
      </c>
      <c r="D958" s="458">
        <v>1</v>
      </c>
      <c r="E958" s="459"/>
      <c r="F958" s="464" t="s">
        <v>942</v>
      </c>
    </row>
    <row r="959" spans="1:14" ht="15.75" hidden="1">
      <c r="A959" s="217" t="s">
        <v>943</v>
      </c>
      <c r="B959" s="463" t="s">
        <v>554</v>
      </c>
      <c r="C959" s="458">
        <v>25</v>
      </c>
      <c r="D959" s="458">
        <v>28</v>
      </c>
      <c r="E959" s="459"/>
      <c r="F959" s="464" t="s">
        <v>942</v>
      </c>
    </row>
    <row r="960" spans="1:14" ht="15.75" hidden="1">
      <c r="A960" s="217" t="s">
        <v>944</v>
      </c>
      <c r="B960" s="463" t="s">
        <v>555</v>
      </c>
      <c r="C960" s="458">
        <v>298</v>
      </c>
      <c r="D960" s="458">
        <v>265</v>
      </c>
      <c r="E960" s="459"/>
      <c r="F960" s="464" t="s">
        <v>942</v>
      </c>
    </row>
    <row r="961" spans="1:6" ht="15.75" hidden="1">
      <c r="A961" s="217" t="s">
        <v>945</v>
      </c>
      <c r="B961" s="463" t="s">
        <v>829</v>
      </c>
      <c r="C961" s="458">
        <v>14800</v>
      </c>
      <c r="D961" s="458">
        <v>12400</v>
      </c>
      <c r="E961" s="459"/>
      <c r="F961" s="464" t="s">
        <v>942</v>
      </c>
    </row>
    <row r="962" spans="1:6" ht="15.75" hidden="1">
      <c r="A962" s="217" t="s">
        <v>946</v>
      </c>
      <c r="B962" s="463" t="s">
        <v>830</v>
      </c>
      <c r="C962" s="458">
        <v>675</v>
      </c>
      <c r="D962" s="458">
        <v>677</v>
      </c>
      <c r="E962" s="459"/>
      <c r="F962" s="464" t="s">
        <v>942</v>
      </c>
    </row>
    <row r="963" spans="1:6" ht="15.75" hidden="1">
      <c r="A963" s="217" t="s">
        <v>947</v>
      </c>
      <c r="B963" s="463" t="s">
        <v>831</v>
      </c>
      <c r="C963" s="458">
        <v>92</v>
      </c>
      <c r="D963" s="458">
        <v>116</v>
      </c>
      <c r="E963" s="459"/>
      <c r="F963" s="464" t="s">
        <v>942</v>
      </c>
    </row>
    <row r="964" spans="1:6" ht="15.75" hidden="1">
      <c r="A964" s="217" t="s">
        <v>948</v>
      </c>
      <c r="B964" s="463" t="s">
        <v>832</v>
      </c>
      <c r="C964" s="458">
        <v>3500</v>
      </c>
      <c r="D964" s="458">
        <v>3170</v>
      </c>
      <c r="E964" s="459"/>
      <c r="F964" s="464" t="s">
        <v>942</v>
      </c>
    </row>
    <row r="965" spans="1:6" ht="15.75" hidden="1">
      <c r="A965" s="217" t="s">
        <v>949</v>
      </c>
      <c r="B965" s="463" t="s">
        <v>833</v>
      </c>
      <c r="C965" s="458">
        <v>1100</v>
      </c>
      <c r="D965" s="458">
        <v>1120</v>
      </c>
      <c r="E965" s="459"/>
      <c r="F965" s="464" t="s">
        <v>942</v>
      </c>
    </row>
    <row r="966" spans="1:6" ht="15.75" hidden="1">
      <c r="A966" s="217" t="s">
        <v>950</v>
      </c>
      <c r="B966" s="463" t="s">
        <v>834</v>
      </c>
      <c r="C966" s="458">
        <v>1430</v>
      </c>
      <c r="D966" s="458">
        <v>1300</v>
      </c>
      <c r="E966" s="459"/>
      <c r="F966" s="464" t="s">
        <v>942</v>
      </c>
    </row>
    <row r="967" spans="1:6" ht="15.75" hidden="1">
      <c r="A967" s="217" t="s">
        <v>951</v>
      </c>
      <c r="B967" s="463" t="s">
        <v>835</v>
      </c>
      <c r="C967" s="458">
        <v>353</v>
      </c>
      <c r="D967" s="458">
        <v>328</v>
      </c>
      <c r="E967" s="459"/>
      <c r="F967" s="464" t="s">
        <v>942</v>
      </c>
    </row>
    <row r="968" spans="1:6" ht="15.75" hidden="1">
      <c r="A968" s="217" t="s">
        <v>952</v>
      </c>
      <c r="B968" s="463" t="s">
        <v>836</v>
      </c>
      <c r="C968" s="458">
        <v>4470</v>
      </c>
      <c r="D968" s="458">
        <v>4800</v>
      </c>
      <c r="E968" s="459"/>
      <c r="F968" s="464" t="s">
        <v>942</v>
      </c>
    </row>
    <row r="969" spans="1:6" ht="15.75" hidden="1">
      <c r="A969" s="217" t="s">
        <v>953</v>
      </c>
      <c r="B969" s="463" t="s">
        <v>837</v>
      </c>
      <c r="C969" s="458">
        <v>53</v>
      </c>
      <c r="D969" s="458">
        <v>16</v>
      </c>
      <c r="E969" s="459"/>
      <c r="F969" s="464" t="s">
        <v>942</v>
      </c>
    </row>
    <row r="970" spans="1:6" ht="15.75" hidden="1">
      <c r="A970" s="217" t="s">
        <v>954</v>
      </c>
      <c r="B970" s="463" t="s">
        <v>838</v>
      </c>
      <c r="C970" s="458">
        <v>124</v>
      </c>
      <c r="D970" s="458">
        <v>138</v>
      </c>
      <c r="E970" s="459"/>
      <c r="F970" s="464" t="s">
        <v>942</v>
      </c>
    </row>
    <row r="971" spans="1:6" ht="15.75" hidden="1">
      <c r="A971" s="217" t="s">
        <v>955</v>
      </c>
      <c r="B971" s="463" t="s">
        <v>839</v>
      </c>
      <c r="C971" s="458">
        <v>12</v>
      </c>
      <c r="D971" s="458">
        <v>4</v>
      </c>
      <c r="E971" s="459"/>
      <c r="F971" s="464" t="s">
        <v>942</v>
      </c>
    </row>
    <row r="972" spans="1:6" ht="15.75" hidden="1">
      <c r="A972" s="217" t="s">
        <v>956</v>
      </c>
      <c r="B972" s="463" t="s">
        <v>840</v>
      </c>
      <c r="C972" s="458">
        <v>3220</v>
      </c>
      <c r="D972" s="458">
        <v>3350</v>
      </c>
      <c r="E972" s="459"/>
      <c r="F972" s="464" t="s">
        <v>942</v>
      </c>
    </row>
    <row r="973" spans="1:6" ht="15.75" hidden="1">
      <c r="A973" s="217" t="s">
        <v>957</v>
      </c>
      <c r="B973" s="463" t="s">
        <v>841</v>
      </c>
      <c r="C973" s="458">
        <v>1340</v>
      </c>
      <c r="D973" s="458">
        <v>1120</v>
      </c>
      <c r="E973" s="459"/>
      <c r="F973" s="464" t="s">
        <v>942</v>
      </c>
    </row>
    <row r="974" spans="1:6" ht="15.75" hidden="1">
      <c r="A974" s="217" t="s">
        <v>958</v>
      </c>
      <c r="B974" s="463" t="s">
        <v>842</v>
      </c>
      <c r="C974" s="458">
        <v>1370</v>
      </c>
      <c r="D974" s="458">
        <v>1330</v>
      </c>
      <c r="E974" s="459"/>
      <c r="F974" s="464" t="s">
        <v>942</v>
      </c>
    </row>
    <row r="975" spans="1:6" ht="15.75" hidden="1">
      <c r="A975" s="217" t="s">
        <v>959</v>
      </c>
      <c r="B975" s="463" t="s">
        <v>843</v>
      </c>
      <c r="C975" s="458">
        <v>9810</v>
      </c>
      <c r="D975" s="458">
        <v>8060</v>
      </c>
      <c r="E975" s="459"/>
      <c r="F975" s="464" t="s">
        <v>942</v>
      </c>
    </row>
    <row r="976" spans="1:6" ht="15.75" hidden="1">
      <c r="A976" s="217" t="s">
        <v>960</v>
      </c>
      <c r="B976" s="463" t="s">
        <v>844</v>
      </c>
      <c r="C976" s="458">
        <v>693</v>
      </c>
      <c r="D976" s="458">
        <v>716</v>
      </c>
      <c r="E976" s="459"/>
      <c r="F976" s="464" t="s">
        <v>942</v>
      </c>
    </row>
    <row r="977" spans="1:6" ht="15.75" hidden="1">
      <c r="A977" s="217" t="s">
        <v>961</v>
      </c>
      <c r="B977" s="463" t="s">
        <v>845</v>
      </c>
      <c r="C977" s="458">
        <v>1030</v>
      </c>
      <c r="D977" s="458">
        <v>858</v>
      </c>
      <c r="E977" s="459"/>
      <c r="F977" s="464" t="s">
        <v>942</v>
      </c>
    </row>
    <row r="978" spans="1:6" ht="15.75" hidden="1">
      <c r="A978" s="217" t="s">
        <v>962</v>
      </c>
      <c r="B978" s="463" t="s">
        <v>846</v>
      </c>
      <c r="C978" s="458">
        <v>794</v>
      </c>
      <c r="D978" s="458">
        <v>804</v>
      </c>
      <c r="E978" s="459"/>
      <c r="F978" s="464" t="s">
        <v>942</v>
      </c>
    </row>
    <row r="979" spans="1:6" ht="15.75" hidden="1">
      <c r="A979" s="217" t="s">
        <v>963</v>
      </c>
      <c r="B979" s="463" t="s">
        <v>847</v>
      </c>
      <c r="C979" s="458">
        <v>1640</v>
      </c>
      <c r="D979" s="458">
        <v>1650</v>
      </c>
      <c r="E979" s="459"/>
      <c r="F979" s="464" t="s">
        <v>942</v>
      </c>
    </row>
    <row r="980" spans="1:6" ht="15.75" hidden="1">
      <c r="A980" s="217" t="s">
        <v>964</v>
      </c>
      <c r="B980" s="463" t="s">
        <v>965</v>
      </c>
      <c r="C980" s="458">
        <v>22800</v>
      </c>
      <c r="D980" s="458">
        <v>23500</v>
      </c>
      <c r="E980" s="459"/>
      <c r="F980" s="464" t="s">
        <v>942</v>
      </c>
    </row>
    <row r="981" spans="1:6" ht="15.75" hidden="1">
      <c r="A981" s="217" t="s">
        <v>966</v>
      </c>
      <c r="B981" s="463" t="s">
        <v>967</v>
      </c>
      <c r="C981" s="458">
        <v>17200</v>
      </c>
      <c r="D981" s="458">
        <v>16100</v>
      </c>
      <c r="E981" s="459"/>
      <c r="F981" s="464" t="s">
        <v>942</v>
      </c>
    </row>
    <row r="982" spans="1:6" ht="15.75" hidden="1">
      <c r="A982" s="217"/>
      <c r="B982" s="463" t="s">
        <v>968</v>
      </c>
      <c r="C982" s="458">
        <v>7390</v>
      </c>
      <c r="D982" s="458">
        <v>0</v>
      </c>
      <c r="E982" s="459"/>
      <c r="F982" s="464" t="s">
        <v>942</v>
      </c>
    </row>
    <row r="983" spans="1:6" ht="15.75" hidden="1">
      <c r="A983" s="217"/>
      <c r="B983" s="463" t="s">
        <v>969</v>
      </c>
      <c r="C983" s="458">
        <v>12200</v>
      </c>
      <c r="D983" s="458">
        <v>0</v>
      </c>
      <c r="E983" s="459"/>
      <c r="F983" s="464" t="s">
        <v>942</v>
      </c>
    </row>
    <row r="984" spans="1:6" ht="15.75" hidden="1">
      <c r="A984" s="217"/>
      <c r="B984" s="463" t="s">
        <v>970</v>
      </c>
      <c r="C984" s="458">
        <v>8830</v>
      </c>
      <c r="D984" s="458">
        <v>0</v>
      </c>
      <c r="E984" s="459"/>
      <c r="F984" s="464" t="s">
        <v>942</v>
      </c>
    </row>
    <row r="985" spans="1:6" ht="15.75" hidden="1">
      <c r="A985" s="217"/>
      <c r="B985" s="463" t="s">
        <v>971</v>
      </c>
      <c r="C985" s="458">
        <v>10300</v>
      </c>
      <c r="D985" s="458">
        <v>0</v>
      </c>
      <c r="E985" s="459"/>
      <c r="F985" s="464" t="s">
        <v>942</v>
      </c>
    </row>
    <row r="986" spans="1:6" ht="15.75" hidden="1">
      <c r="A986" s="217"/>
      <c r="B986" s="463" t="s">
        <v>972</v>
      </c>
      <c r="C986" s="458">
        <v>8860</v>
      </c>
      <c r="D986" s="458">
        <v>0</v>
      </c>
      <c r="E986" s="459"/>
      <c r="F986" s="464" t="s">
        <v>942</v>
      </c>
    </row>
    <row r="987" spans="1:6" ht="15.75" hidden="1">
      <c r="A987" s="217"/>
      <c r="B987" s="463" t="s">
        <v>973</v>
      </c>
      <c r="C987" s="458">
        <v>9160</v>
      </c>
      <c r="D987" s="458">
        <v>0</v>
      </c>
      <c r="E987" s="459"/>
      <c r="F987" s="464" t="s">
        <v>942</v>
      </c>
    </row>
    <row r="988" spans="1:6" ht="15.75" hidden="1">
      <c r="A988" s="217"/>
      <c r="B988" s="463" t="s">
        <v>974</v>
      </c>
      <c r="C988" s="458">
        <v>9300</v>
      </c>
      <c r="D988" s="458">
        <v>0</v>
      </c>
      <c r="E988" s="459"/>
      <c r="F988" s="464" t="s">
        <v>942</v>
      </c>
    </row>
    <row r="989" spans="1:6" ht="15.75" hidden="1">
      <c r="A989" s="217"/>
      <c r="B989" s="463" t="s">
        <v>975</v>
      </c>
      <c r="C989" s="465">
        <v>7500</v>
      </c>
      <c r="D989" s="458">
        <v>0</v>
      </c>
      <c r="E989" s="459"/>
      <c r="F989" s="464" t="s">
        <v>942</v>
      </c>
    </row>
    <row r="990" spans="1:6" ht="15.75" hidden="1">
      <c r="A990" s="217" t="s">
        <v>865</v>
      </c>
      <c r="B990" s="463" t="s">
        <v>865</v>
      </c>
      <c r="C990" s="458">
        <v>16</v>
      </c>
      <c r="D990" s="458">
        <v>17.940000000000001</v>
      </c>
      <c r="E990" s="464" t="s">
        <v>866</v>
      </c>
      <c r="F990" s="458" t="s">
        <v>976</v>
      </c>
    </row>
    <row r="991" spans="1:6" ht="15.75" hidden="1">
      <c r="A991" s="217" t="s">
        <v>867</v>
      </c>
      <c r="B991" s="463" t="s">
        <v>867</v>
      </c>
      <c r="C991" s="458">
        <v>14</v>
      </c>
      <c r="D991" s="458">
        <v>15</v>
      </c>
      <c r="E991" s="464" t="s">
        <v>868</v>
      </c>
      <c r="F991" s="458" t="s">
        <v>976</v>
      </c>
    </row>
    <row r="992" spans="1:6" ht="15.75" hidden="1">
      <c r="A992" s="217" t="s">
        <v>869</v>
      </c>
      <c r="B992" s="463" t="s">
        <v>869</v>
      </c>
      <c r="C992" s="458">
        <v>19</v>
      </c>
      <c r="D992" s="458">
        <v>20.7</v>
      </c>
      <c r="E992" s="464" t="s">
        <v>870</v>
      </c>
      <c r="F992" s="458" t="s">
        <v>976</v>
      </c>
    </row>
    <row r="993" spans="1:6" ht="15.75" hidden="1">
      <c r="A993" s="217" t="s">
        <v>871</v>
      </c>
      <c r="B993" s="463" t="s">
        <v>871</v>
      </c>
      <c r="C993" s="458">
        <v>2100</v>
      </c>
      <c r="D993" s="458">
        <v>1902</v>
      </c>
      <c r="E993" s="464" t="s">
        <v>872</v>
      </c>
      <c r="F993" s="458" t="s">
        <v>976</v>
      </c>
    </row>
    <row r="994" spans="1:6" ht="15.75" hidden="1">
      <c r="A994" s="217" t="s">
        <v>873</v>
      </c>
      <c r="B994" s="463" t="s">
        <v>873</v>
      </c>
      <c r="C994" s="458">
        <v>1330</v>
      </c>
      <c r="D994" s="458">
        <v>1205</v>
      </c>
      <c r="E994" s="464" t="s">
        <v>874</v>
      </c>
      <c r="F994" s="458" t="s">
        <v>976</v>
      </c>
    </row>
    <row r="995" spans="1:6" ht="15.75" hidden="1">
      <c r="A995" s="217" t="s">
        <v>977</v>
      </c>
      <c r="B995" s="463"/>
      <c r="C995" s="459"/>
      <c r="D995" s="458">
        <v>1780</v>
      </c>
      <c r="E995" s="458"/>
      <c r="F995" s="458"/>
    </row>
    <row r="996" spans="1:6" ht="15.75" hidden="1">
      <c r="A996" s="217" t="s">
        <v>875</v>
      </c>
      <c r="B996" s="463" t="s">
        <v>875</v>
      </c>
      <c r="C996" s="458">
        <v>3444</v>
      </c>
      <c r="D996" s="458">
        <v>3471</v>
      </c>
      <c r="E996" s="464" t="s">
        <v>876</v>
      </c>
      <c r="F996" s="458" t="s">
        <v>976</v>
      </c>
    </row>
    <row r="997" spans="1:6" ht="15.75" hidden="1">
      <c r="A997" s="217" t="s">
        <v>877</v>
      </c>
      <c r="B997" s="463" t="s">
        <v>877</v>
      </c>
      <c r="C997" s="458">
        <v>3922</v>
      </c>
      <c r="D997" s="458">
        <v>3943</v>
      </c>
      <c r="E997" s="464" t="s">
        <v>878</v>
      </c>
      <c r="F997" s="458" t="s">
        <v>976</v>
      </c>
    </row>
    <row r="998" spans="1:6" ht="15.75" hidden="1">
      <c r="A998" s="217" t="s">
        <v>881</v>
      </c>
      <c r="B998" s="463" t="s">
        <v>881</v>
      </c>
      <c r="C998" s="458">
        <v>2107</v>
      </c>
      <c r="D998" s="458">
        <v>1923</v>
      </c>
      <c r="E998" s="464" t="s">
        <v>882</v>
      </c>
      <c r="F998" s="458" t="s">
        <v>976</v>
      </c>
    </row>
    <row r="999" spans="1:6" ht="15.75" hidden="1">
      <c r="A999" s="217" t="s">
        <v>883</v>
      </c>
      <c r="B999" s="463" t="s">
        <v>883</v>
      </c>
      <c r="C999" s="458">
        <v>2804</v>
      </c>
      <c r="D999" s="458">
        <v>2547</v>
      </c>
      <c r="E999" s="464" t="s">
        <v>884</v>
      </c>
      <c r="F999" s="458" t="s">
        <v>976</v>
      </c>
    </row>
    <row r="1000" spans="1:6" ht="15.75" hidden="1">
      <c r="A1000" s="217" t="s">
        <v>885</v>
      </c>
      <c r="B1000" s="463" t="s">
        <v>885</v>
      </c>
      <c r="C1000" s="458">
        <v>1774</v>
      </c>
      <c r="D1000" s="458">
        <v>1624</v>
      </c>
      <c r="E1000" s="464" t="s">
        <v>886</v>
      </c>
      <c r="F1000" s="458" t="s">
        <v>976</v>
      </c>
    </row>
    <row r="1001" spans="1:6" ht="15.75" hidden="1">
      <c r="A1001" s="217" t="s">
        <v>887</v>
      </c>
      <c r="B1001" s="463" t="s">
        <v>887</v>
      </c>
      <c r="C1001" s="458">
        <v>1627</v>
      </c>
      <c r="D1001" s="458">
        <v>1487</v>
      </c>
      <c r="E1001" s="464" t="s">
        <v>888</v>
      </c>
      <c r="F1001" s="458" t="s">
        <v>976</v>
      </c>
    </row>
    <row r="1002" spans="1:6" ht="15.75" hidden="1">
      <c r="A1002" s="217" t="s">
        <v>889</v>
      </c>
      <c r="B1002" s="463" t="s">
        <v>889</v>
      </c>
      <c r="C1002" s="458">
        <v>1552</v>
      </c>
      <c r="D1002" s="458">
        <v>1425</v>
      </c>
      <c r="E1002" s="464" t="s">
        <v>890</v>
      </c>
      <c r="F1002" s="458" t="s">
        <v>976</v>
      </c>
    </row>
    <row r="1003" spans="1:6" ht="15.75" hidden="1">
      <c r="A1003" s="217" t="s">
        <v>891</v>
      </c>
      <c r="B1003" s="463" t="s">
        <v>891</v>
      </c>
      <c r="C1003" s="458">
        <v>2301</v>
      </c>
      <c r="D1003" s="458">
        <v>2430</v>
      </c>
      <c r="E1003" s="464" t="s">
        <v>892</v>
      </c>
      <c r="F1003" s="458" t="s">
        <v>976</v>
      </c>
    </row>
    <row r="1004" spans="1:6" ht="15.75" hidden="1">
      <c r="A1004" s="217"/>
      <c r="B1004" s="463" t="s">
        <v>893</v>
      </c>
      <c r="C1004" s="458">
        <v>0</v>
      </c>
      <c r="D1004" s="458">
        <v>0</v>
      </c>
      <c r="E1004" s="464" t="s">
        <v>894</v>
      </c>
      <c r="F1004" s="458" t="s">
        <v>976</v>
      </c>
    </row>
    <row r="1005" spans="1:6" ht="15.75" hidden="1">
      <c r="A1005" s="217" t="s">
        <v>895</v>
      </c>
      <c r="B1005" s="463" t="s">
        <v>895</v>
      </c>
      <c r="C1005" s="458">
        <v>2088</v>
      </c>
      <c r="D1005" s="458">
        <v>1924</v>
      </c>
      <c r="E1005" s="464" t="s">
        <v>896</v>
      </c>
      <c r="F1005" s="458" t="s">
        <v>976</v>
      </c>
    </row>
    <row r="1006" spans="1:6" ht="15.75" hidden="1">
      <c r="A1006" s="217" t="s">
        <v>897</v>
      </c>
      <c r="B1006" s="463" t="s">
        <v>897</v>
      </c>
      <c r="C1006" s="458">
        <v>2229</v>
      </c>
      <c r="D1006" s="458">
        <v>2048</v>
      </c>
      <c r="E1006" s="464" t="s">
        <v>898</v>
      </c>
      <c r="F1006" s="458" t="s">
        <v>976</v>
      </c>
    </row>
    <row r="1007" spans="1:6" ht="15.75" hidden="1">
      <c r="A1007" s="217" t="s">
        <v>899</v>
      </c>
      <c r="B1007" s="463" t="s">
        <v>899</v>
      </c>
      <c r="C1007" s="458">
        <v>14</v>
      </c>
      <c r="D1007" s="458">
        <v>15</v>
      </c>
      <c r="E1007" s="464" t="s">
        <v>900</v>
      </c>
      <c r="F1007" s="458" t="s">
        <v>976</v>
      </c>
    </row>
    <row r="1008" spans="1:6" ht="15.75" hidden="1">
      <c r="A1008" s="217" t="s">
        <v>901</v>
      </c>
      <c r="B1008" s="463" t="s">
        <v>901</v>
      </c>
      <c r="C1008" s="458">
        <v>4</v>
      </c>
      <c r="D1008" s="458">
        <v>4.1399999999999997</v>
      </c>
      <c r="E1008" s="464" t="s">
        <v>902</v>
      </c>
      <c r="F1008" s="458" t="s">
        <v>976</v>
      </c>
    </row>
    <row r="1009" spans="1:6" ht="15.75" hidden="1">
      <c r="A1009" s="217"/>
      <c r="B1009" s="463" t="s">
        <v>903</v>
      </c>
      <c r="C1009" s="458">
        <v>2053</v>
      </c>
      <c r="D1009" s="458">
        <v>0</v>
      </c>
      <c r="E1009" s="464" t="s">
        <v>904</v>
      </c>
      <c r="F1009" s="458" t="s">
        <v>976</v>
      </c>
    </row>
    <row r="1010" spans="1:6" ht="15.75" hidden="1">
      <c r="A1010" s="217"/>
      <c r="B1010" s="463" t="s">
        <v>905</v>
      </c>
      <c r="C1010" s="458">
        <v>0</v>
      </c>
      <c r="D1010" s="458">
        <v>0</v>
      </c>
      <c r="E1010" s="464" t="s">
        <v>906</v>
      </c>
      <c r="F1010" s="458" t="s">
        <v>976</v>
      </c>
    </row>
    <row r="1011" spans="1:6" ht="15.75" hidden="1">
      <c r="A1011" s="217"/>
      <c r="B1011" s="463" t="s">
        <v>907</v>
      </c>
      <c r="C1011" s="458">
        <v>0</v>
      </c>
      <c r="D1011" s="458">
        <v>0</v>
      </c>
      <c r="E1011" s="464" t="s">
        <v>908</v>
      </c>
      <c r="F1011" s="458" t="s">
        <v>976</v>
      </c>
    </row>
    <row r="1012" spans="1:6" ht="15.75" hidden="1">
      <c r="A1012" s="217" t="s">
        <v>909</v>
      </c>
      <c r="B1012" s="463" t="s">
        <v>909</v>
      </c>
      <c r="C1012" s="458">
        <v>2346</v>
      </c>
      <c r="D1012" s="458">
        <v>2127</v>
      </c>
      <c r="E1012" s="464" t="s">
        <v>910</v>
      </c>
      <c r="F1012" s="458" t="s">
        <v>976</v>
      </c>
    </row>
    <row r="1013" spans="1:6" ht="15.75" hidden="1">
      <c r="A1013" s="217" t="s">
        <v>911</v>
      </c>
      <c r="B1013" s="463" t="s">
        <v>911</v>
      </c>
      <c r="C1013" s="458">
        <v>3143</v>
      </c>
      <c r="D1013" s="458">
        <v>2847</v>
      </c>
      <c r="E1013" s="464" t="s">
        <v>912</v>
      </c>
      <c r="F1013" s="458" t="s">
        <v>976</v>
      </c>
    </row>
    <row r="1014" spans="1:6" ht="15.75" hidden="1">
      <c r="A1014" s="217" t="s">
        <v>913</v>
      </c>
      <c r="B1014" s="463" t="s">
        <v>913</v>
      </c>
      <c r="C1014" s="458">
        <v>2729</v>
      </c>
      <c r="D1014" s="458">
        <v>2473</v>
      </c>
      <c r="E1014" s="464" t="s">
        <v>914</v>
      </c>
      <c r="F1014" s="458" t="s">
        <v>976</v>
      </c>
    </row>
    <row r="1015" spans="1:6" ht="15.75" hidden="1">
      <c r="A1015" s="217" t="s">
        <v>915</v>
      </c>
      <c r="B1015" s="463" t="s">
        <v>915</v>
      </c>
      <c r="C1015" s="458">
        <v>2280</v>
      </c>
      <c r="D1015" s="458">
        <v>2274</v>
      </c>
      <c r="E1015" s="464" t="s">
        <v>916</v>
      </c>
      <c r="F1015" s="458" t="s">
        <v>976</v>
      </c>
    </row>
    <row r="1016" spans="1:6" ht="15.75" hidden="1">
      <c r="A1016" s="217" t="s">
        <v>917</v>
      </c>
      <c r="B1016" s="463" t="s">
        <v>917</v>
      </c>
      <c r="C1016" s="458">
        <v>2440</v>
      </c>
      <c r="D1016" s="458">
        <v>2212</v>
      </c>
      <c r="E1016" s="464" t="s">
        <v>918</v>
      </c>
      <c r="F1016" s="458" t="s">
        <v>976</v>
      </c>
    </row>
    <row r="1017" spans="1:6" ht="15.75" hidden="1">
      <c r="A1017" s="217" t="s">
        <v>919</v>
      </c>
      <c r="B1017" s="463" t="s">
        <v>919</v>
      </c>
      <c r="C1017" s="458">
        <v>1508</v>
      </c>
      <c r="D1017" s="458">
        <v>1371</v>
      </c>
      <c r="E1017" s="464" t="s">
        <v>920</v>
      </c>
      <c r="F1017" s="458" t="s">
        <v>976</v>
      </c>
    </row>
    <row r="1018" spans="1:6" ht="15.75" hidden="1">
      <c r="A1018" s="217" t="s">
        <v>921</v>
      </c>
      <c r="B1018" s="463" t="s">
        <v>921</v>
      </c>
      <c r="C1018" s="458">
        <v>3607</v>
      </c>
      <c r="D1018" s="458">
        <v>3417</v>
      </c>
      <c r="E1018" s="464" t="s">
        <v>922</v>
      </c>
      <c r="F1018" s="458" t="s">
        <v>976</v>
      </c>
    </row>
    <row r="1019" spans="1:6" ht="15.75" hidden="1">
      <c r="A1019" s="217" t="s">
        <v>923</v>
      </c>
      <c r="B1019" s="463" t="s">
        <v>923</v>
      </c>
      <c r="C1019" s="458">
        <v>3245</v>
      </c>
      <c r="D1019" s="458">
        <v>3075</v>
      </c>
      <c r="E1019" s="464" t="s">
        <v>924</v>
      </c>
      <c r="F1019" s="458" t="s">
        <v>976</v>
      </c>
    </row>
    <row r="1020" spans="1:6" ht="15.75" hidden="1">
      <c r="A1020" s="217" t="s">
        <v>925</v>
      </c>
      <c r="B1020" s="463" t="s">
        <v>925</v>
      </c>
      <c r="C1020" s="458">
        <v>32</v>
      </c>
      <c r="D1020" s="458">
        <v>36</v>
      </c>
      <c r="E1020" s="464" t="s">
        <v>926</v>
      </c>
      <c r="F1020" s="458" t="s">
        <v>976</v>
      </c>
    </row>
    <row r="1021" spans="1:6" ht="15.75" hidden="1">
      <c r="A1021" s="217"/>
      <c r="B1021" s="463" t="s">
        <v>927</v>
      </c>
      <c r="C1021" s="458">
        <v>0</v>
      </c>
      <c r="D1021" s="458">
        <v>0</v>
      </c>
      <c r="E1021" s="464" t="s">
        <v>928</v>
      </c>
      <c r="F1021" s="458" t="s">
        <v>976</v>
      </c>
    </row>
    <row r="1022" spans="1:6" ht="15.75" hidden="1">
      <c r="A1022" s="217" t="s">
        <v>929</v>
      </c>
      <c r="B1022" s="463" t="s">
        <v>929</v>
      </c>
      <c r="C1022" s="458">
        <v>325</v>
      </c>
      <c r="D1022" s="458">
        <v>326</v>
      </c>
      <c r="E1022" s="464" t="s">
        <v>930</v>
      </c>
      <c r="F1022" s="458" t="s">
        <v>976</v>
      </c>
    </row>
    <row r="1023" spans="1:6" ht="15.75" hidden="1">
      <c r="A1023" s="217" t="s">
        <v>931</v>
      </c>
      <c r="B1023" s="463" t="s">
        <v>931</v>
      </c>
      <c r="C1023" s="458">
        <v>3985</v>
      </c>
      <c r="D1023" s="458">
        <v>3985</v>
      </c>
      <c r="E1023" s="464" t="s">
        <v>932</v>
      </c>
      <c r="F1023" s="458" t="s">
        <v>976</v>
      </c>
    </row>
    <row r="1024" spans="1:6" ht="15.75" hidden="1">
      <c r="A1024" s="217"/>
      <c r="B1024" s="463" t="s">
        <v>933</v>
      </c>
      <c r="C1024" s="458">
        <v>13214</v>
      </c>
      <c r="D1024" s="458">
        <v>0</v>
      </c>
      <c r="E1024" s="464" t="s">
        <v>934</v>
      </c>
      <c r="F1024" s="458" t="s">
        <v>976</v>
      </c>
    </row>
    <row r="1025" spans="1:8" ht="15.75" hidden="1">
      <c r="A1025" s="217"/>
      <c r="B1025" s="461" t="s">
        <v>935</v>
      </c>
      <c r="C1025" s="458">
        <v>13396</v>
      </c>
      <c r="D1025" s="458">
        <v>0</v>
      </c>
      <c r="E1025" s="464" t="s">
        <v>936</v>
      </c>
      <c r="F1025" s="458" t="s">
        <v>976</v>
      </c>
    </row>
    <row r="1026" spans="1:8" hidden="1"/>
    <row r="1027" spans="1:8" hidden="1"/>
    <row r="1029" spans="1:8">
      <c r="B1029" s="731" t="s">
        <v>978</v>
      </c>
      <c r="C1029" s="731" t="s">
        <v>979</v>
      </c>
      <c r="D1029" s="731" t="s">
        <v>980</v>
      </c>
      <c r="E1029" s="732" t="s">
        <v>551</v>
      </c>
      <c r="F1029" s="732" t="s">
        <v>981</v>
      </c>
      <c r="G1029" s="732" t="s">
        <v>552</v>
      </c>
      <c r="H1029" s="732" t="s">
        <v>982</v>
      </c>
    </row>
    <row r="1030" spans="1:8">
      <c r="B1030" s="744" t="s">
        <v>940</v>
      </c>
      <c r="C1030" s="744" t="s">
        <v>553</v>
      </c>
      <c r="D1030" s="744"/>
      <c r="E1030" s="745">
        <v>1</v>
      </c>
      <c r="F1030" s="746" t="s">
        <v>983</v>
      </c>
      <c r="G1030" s="745">
        <v>1</v>
      </c>
      <c r="H1030" s="746" t="s">
        <v>984</v>
      </c>
    </row>
    <row r="1031" spans="1:8">
      <c r="B1031" s="744" t="s">
        <v>943</v>
      </c>
      <c r="C1031" s="744" t="s">
        <v>554</v>
      </c>
      <c r="D1031" s="744"/>
      <c r="E1031" s="745">
        <v>25</v>
      </c>
      <c r="F1031" s="746" t="s">
        <v>983</v>
      </c>
      <c r="G1031" s="745">
        <v>28</v>
      </c>
      <c r="H1031" s="746" t="s">
        <v>984</v>
      </c>
    </row>
    <row r="1032" spans="1:8">
      <c r="B1032" s="744" t="s">
        <v>944</v>
      </c>
      <c r="C1032" s="744" t="s">
        <v>555</v>
      </c>
      <c r="D1032" s="744"/>
      <c r="E1032" s="745">
        <v>298</v>
      </c>
      <c r="F1032" s="746" t="s">
        <v>983</v>
      </c>
      <c r="G1032" s="745">
        <v>265</v>
      </c>
      <c r="H1032" s="746" t="s">
        <v>984</v>
      </c>
    </row>
    <row r="1033" spans="1:8">
      <c r="B1033" s="744" t="s">
        <v>966</v>
      </c>
      <c r="C1033" s="744" t="s">
        <v>967</v>
      </c>
      <c r="D1033" s="744"/>
      <c r="E1033" s="745">
        <v>17200</v>
      </c>
      <c r="F1033" s="746" t="s">
        <v>983</v>
      </c>
      <c r="G1033" s="745">
        <v>16100</v>
      </c>
      <c r="H1033" s="746" t="s">
        <v>984</v>
      </c>
    </row>
    <row r="1034" spans="1:8">
      <c r="B1034" s="744" t="s">
        <v>964</v>
      </c>
      <c r="C1034" s="744" t="s">
        <v>985</v>
      </c>
      <c r="D1034" s="744"/>
      <c r="E1034" s="745">
        <v>22800</v>
      </c>
      <c r="F1034" s="746" t="s">
        <v>983</v>
      </c>
      <c r="G1034" s="745">
        <v>23500</v>
      </c>
      <c r="H1034" s="746" t="s">
        <v>984</v>
      </c>
    </row>
    <row r="1035" spans="1:8">
      <c r="B1035" s="744" t="s">
        <v>986</v>
      </c>
      <c r="C1035" s="744"/>
      <c r="D1035" s="744"/>
      <c r="E1035" s="745"/>
      <c r="F1035" s="746" t="s">
        <v>983</v>
      </c>
      <c r="G1035" s="745"/>
      <c r="H1035" s="746" t="s">
        <v>984</v>
      </c>
    </row>
    <row r="1036" spans="1:8">
      <c r="B1036" s="744" t="s">
        <v>945</v>
      </c>
      <c r="C1036" s="744" t="s">
        <v>987</v>
      </c>
      <c r="D1036" s="744" t="s">
        <v>988</v>
      </c>
      <c r="E1036" s="745">
        <v>14800</v>
      </c>
      <c r="F1036" s="746" t="s">
        <v>983</v>
      </c>
      <c r="G1036" s="745">
        <v>12400</v>
      </c>
      <c r="H1036" s="746" t="s">
        <v>984</v>
      </c>
    </row>
    <row r="1037" spans="1:8">
      <c r="B1037" s="744" t="s">
        <v>946</v>
      </c>
      <c r="C1037" s="744" t="s">
        <v>989</v>
      </c>
      <c r="D1037" s="744" t="s">
        <v>990</v>
      </c>
      <c r="E1037" s="745">
        <v>675</v>
      </c>
      <c r="F1037" s="746" t="s">
        <v>983</v>
      </c>
      <c r="G1037" s="745">
        <v>677</v>
      </c>
      <c r="H1037" s="746" t="s">
        <v>984</v>
      </c>
    </row>
    <row r="1038" spans="1:8">
      <c r="B1038" s="744" t="s">
        <v>947</v>
      </c>
      <c r="C1038" s="744" t="s">
        <v>991</v>
      </c>
      <c r="D1038" s="744" t="s">
        <v>992</v>
      </c>
      <c r="E1038" s="745">
        <v>92</v>
      </c>
      <c r="F1038" s="746" t="s">
        <v>983</v>
      </c>
      <c r="G1038" s="745">
        <v>116</v>
      </c>
      <c r="H1038" s="746" t="s">
        <v>984</v>
      </c>
    </row>
    <row r="1039" spans="1:8">
      <c r="B1039" t="s">
        <v>948</v>
      </c>
      <c r="C1039" t="s">
        <v>993</v>
      </c>
      <c r="D1039" t="s">
        <v>994</v>
      </c>
      <c r="E1039" s="707">
        <v>3500</v>
      </c>
      <c r="F1039" s="722" t="s">
        <v>983</v>
      </c>
      <c r="G1039" s="707">
        <v>3170</v>
      </c>
      <c r="H1039" s="722" t="s">
        <v>984</v>
      </c>
    </row>
    <row r="1040" spans="1:8">
      <c r="B1040" s="744" t="s">
        <v>949</v>
      </c>
      <c r="C1040" s="744" t="s">
        <v>995</v>
      </c>
      <c r="D1040" s="744" t="s">
        <v>996</v>
      </c>
      <c r="E1040" s="745">
        <v>1100</v>
      </c>
      <c r="F1040" s="746" t="s">
        <v>983</v>
      </c>
      <c r="G1040" s="745">
        <v>1120</v>
      </c>
      <c r="H1040" s="746" t="s">
        <v>984</v>
      </c>
    </row>
    <row r="1041" spans="2:8">
      <c r="B1041" s="744" t="s">
        <v>950</v>
      </c>
      <c r="C1041" s="744" t="s">
        <v>995</v>
      </c>
      <c r="D1041" s="744" t="s">
        <v>997</v>
      </c>
      <c r="E1041" s="745">
        <v>1430</v>
      </c>
      <c r="F1041" s="746" t="s">
        <v>983</v>
      </c>
      <c r="G1041" s="745">
        <v>1300</v>
      </c>
      <c r="H1041" s="746" t="s">
        <v>984</v>
      </c>
    </row>
    <row r="1042" spans="2:8">
      <c r="B1042" t="s">
        <v>951</v>
      </c>
      <c r="C1042" t="s">
        <v>998</v>
      </c>
      <c r="D1042" t="s">
        <v>999</v>
      </c>
      <c r="E1042" s="707">
        <v>353</v>
      </c>
      <c r="F1042" s="722" t="s">
        <v>983</v>
      </c>
      <c r="G1042" s="707">
        <v>328</v>
      </c>
      <c r="H1042" s="722" t="s">
        <v>984</v>
      </c>
    </row>
    <row r="1043" spans="2:8">
      <c r="B1043" s="744" t="s">
        <v>952</v>
      </c>
      <c r="C1043" s="744" t="s">
        <v>998</v>
      </c>
      <c r="D1043" s="744" t="s">
        <v>1000</v>
      </c>
      <c r="E1043" s="745">
        <v>4470</v>
      </c>
      <c r="F1043" s="746" t="s">
        <v>983</v>
      </c>
      <c r="G1043" s="745">
        <v>4800</v>
      </c>
      <c r="H1043" s="746" t="s">
        <v>984</v>
      </c>
    </row>
    <row r="1044" spans="2:8">
      <c r="B1044" s="744" t="s">
        <v>953</v>
      </c>
      <c r="C1044" s="744" t="s">
        <v>1001</v>
      </c>
      <c r="D1044" s="744" t="s">
        <v>1002</v>
      </c>
      <c r="E1044" s="745">
        <v>53</v>
      </c>
      <c r="F1044" s="746" t="s">
        <v>983</v>
      </c>
      <c r="G1044" s="745">
        <v>16</v>
      </c>
      <c r="H1044" s="746" t="s">
        <v>984</v>
      </c>
    </row>
    <row r="1045" spans="2:8">
      <c r="B1045" t="s">
        <v>954</v>
      </c>
      <c r="C1045" t="s">
        <v>1001</v>
      </c>
      <c r="D1045" t="s">
        <v>1003</v>
      </c>
      <c r="E1045" s="707">
        <v>124</v>
      </c>
      <c r="F1045" s="722" t="s">
        <v>983</v>
      </c>
      <c r="G1045" s="707">
        <v>138</v>
      </c>
      <c r="H1045" s="722" t="s">
        <v>984</v>
      </c>
    </row>
    <row r="1046" spans="2:8">
      <c r="B1046" s="740" t="s">
        <v>955</v>
      </c>
      <c r="C1046" s="740" t="s">
        <v>1004</v>
      </c>
      <c r="D1046" s="740" t="s">
        <v>1005</v>
      </c>
      <c r="E1046" s="741">
        <v>12</v>
      </c>
      <c r="F1046" s="742" t="s">
        <v>983</v>
      </c>
      <c r="G1046" s="741">
        <v>4</v>
      </c>
      <c r="H1046" s="742" t="s">
        <v>984</v>
      </c>
    </row>
    <row r="1047" spans="2:8">
      <c r="B1047" s="740" t="s">
        <v>956</v>
      </c>
      <c r="C1047" s="740" t="s">
        <v>1006</v>
      </c>
      <c r="D1047" s="740" t="s">
        <v>1007</v>
      </c>
      <c r="E1047" s="741">
        <v>3220</v>
      </c>
      <c r="F1047" s="742" t="s">
        <v>983</v>
      </c>
      <c r="G1047" s="741">
        <v>3350</v>
      </c>
      <c r="H1047" s="742" t="s">
        <v>984</v>
      </c>
    </row>
    <row r="1048" spans="2:8">
      <c r="B1048" s="740" t="s">
        <v>957</v>
      </c>
      <c r="C1048" s="740" t="s">
        <v>1008</v>
      </c>
      <c r="D1048" s="740" t="s">
        <v>1009</v>
      </c>
      <c r="E1048" s="741">
        <v>1340</v>
      </c>
      <c r="F1048" s="742" t="s">
        <v>983</v>
      </c>
      <c r="G1048" s="741">
        <v>1120</v>
      </c>
      <c r="H1048" s="742" t="s">
        <v>984</v>
      </c>
    </row>
    <row r="1049" spans="2:8">
      <c r="B1049" s="740" t="s">
        <v>958</v>
      </c>
      <c r="C1049" s="740" t="s">
        <v>1008</v>
      </c>
      <c r="D1049" s="740" t="s">
        <v>1010</v>
      </c>
      <c r="E1049" s="741">
        <v>1370</v>
      </c>
      <c r="F1049" s="742" t="s">
        <v>983</v>
      </c>
      <c r="G1049" s="741">
        <v>1330</v>
      </c>
      <c r="H1049" s="742" t="s">
        <v>984</v>
      </c>
    </row>
    <row r="1050" spans="2:8">
      <c r="B1050" s="740" t="s">
        <v>959</v>
      </c>
      <c r="C1050" s="740" t="s">
        <v>1008</v>
      </c>
      <c r="D1050" s="740" t="s">
        <v>1011</v>
      </c>
      <c r="E1050" s="741">
        <v>9810</v>
      </c>
      <c r="F1050" s="742" t="s">
        <v>983</v>
      </c>
      <c r="G1050" s="741">
        <v>8060</v>
      </c>
      <c r="H1050" s="742" t="s">
        <v>984</v>
      </c>
    </row>
    <row r="1051" spans="2:8">
      <c r="B1051" s="740" t="s">
        <v>960</v>
      </c>
      <c r="C1051" s="740" t="s">
        <v>1012</v>
      </c>
      <c r="D1051" s="740" t="s">
        <v>1013</v>
      </c>
      <c r="E1051" s="741">
        <v>693</v>
      </c>
      <c r="F1051" s="742" t="s">
        <v>983</v>
      </c>
      <c r="G1051" s="741">
        <v>716</v>
      </c>
      <c r="H1051" s="742" t="s">
        <v>984</v>
      </c>
    </row>
    <row r="1052" spans="2:8">
      <c r="B1052" s="744" t="s">
        <v>961</v>
      </c>
      <c r="C1052" s="744" t="s">
        <v>1012</v>
      </c>
      <c r="D1052" s="744" t="s">
        <v>1014</v>
      </c>
      <c r="E1052" s="745">
        <v>1030</v>
      </c>
      <c r="F1052" s="746" t="s">
        <v>983</v>
      </c>
      <c r="G1052" s="745">
        <v>858</v>
      </c>
      <c r="H1052" s="746" t="s">
        <v>984</v>
      </c>
    </row>
    <row r="1053" spans="2:8">
      <c r="B1053" s="744" t="s">
        <v>962</v>
      </c>
      <c r="C1053" s="744" t="s">
        <v>1015</v>
      </c>
      <c r="D1053" s="744" t="s">
        <v>1016</v>
      </c>
      <c r="E1053" s="745">
        <v>794</v>
      </c>
      <c r="F1053" s="746" t="s">
        <v>983</v>
      </c>
      <c r="G1053" s="745">
        <v>804</v>
      </c>
      <c r="H1053" s="746" t="s">
        <v>984</v>
      </c>
    </row>
    <row r="1054" spans="2:8">
      <c r="B1054" s="751" t="s">
        <v>963</v>
      </c>
      <c r="C1054" s="751" t="s">
        <v>1017</v>
      </c>
      <c r="D1054" s="751" t="s">
        <v>1018</v>
      </c>
      <c r="E1054" s="750">
        <v>1640</v>
      </c>
      <c r="F1054" s="743" t="s">
        <v>983</v>
      </c>
      <c r="G1054" s="750">
        <v>1650</v>
      </c>
      <c r="H1054" s="743" t="s">
        <v>984</v>
      </c>
    </row>
    <row r="1055" spans="2:8">
      <c r="B1055" t="s">
        <v>1019</v>
      </c>
      <c r="E1055" s="707"/>
      <c r="F1055" s="722" t="s">
        <v>983</v>
      </c>
      <c r="G1055" s="707"/>
      <c r="H1055" s="722" t="s">
        <v>984</v>
      </c>
    </row>
    <row r="1056" spans="2:8">
      <c r="B1056" s="744" t="s">
        <v>1020</v>
      </c>
      <c r="C1056" s="744" t="s">
        <v>1021</v>
      </c>
      <c r="D1056" s="744" t="s">
        <v>1022</v>
      </c>
      <c r="E1056" s="745">
        <v>7390</v>
      </c>
      <c r="F1056" s="746" t="s">
        <v>983</v>
      </c>
      <c r="G1056" s="745">
        <v>6630</v>
      </c>
      <c r="H1056" s="746" t="s">
        <v>984</v>
      </c>
    </row>
    <row r="1057" spans="2:8">
      <c r="B1057" t="s">
        <v>1023</v>
      </c>
      <c r="C1057" t="s">
        <v>1024</v>
      </c>
      <c r="D1057" t="s">
        <v>1025</v>
      </c>
      <c r="E1057" s="707">
        <v>12200</v>
      </c>
      <c r="F1057" s="722" t="s">
        <v>983</v>
      </c>
      <c r="G1057" s="707">
        <v>11100</v>
      </c>
      <c r="H1057" s="722" t="s">
        <v>984</v>
      </c>
    </row>
    <row r="1058" spans="2:8">
      <c r="B1058" s="744" t="s">
        <v>1026</v>
      </c>
      <c r="C1058" s="744" t="s">
        <v>970</v>
      </c>
      <c r="D1058" s="744" t="s">
        <v>1027</v>
      </c>
      <c r="E1058" s="745">
        <v>8830</v>
      </c>
      <c r="F1058" s="746" t="s">
        <v>983</v>
      </c>
      <c r="G1058" s="745">
        <v>8900</v>
      </c>
      <c r="H1058" s="746" t="s">
        <v>984</v>
      </c>
    </row>
    <row r="1059" spans="2:8">
      <c r="B1059" t="s">
        <v>1028</v>
      </c>
      <c r="C1059" t="s">
        <v>971</v>
      </c>
      <c r="D1059" t="s">
        <v>1029</v>
      </c>
      <c r="E1059" s="707">
        <v>10300</v>
      </c>
      <c r="F1059" s="722" t="s">
        <v>983</v>
      </c>
      <c r="G1059" s="707">
        <v>9540</v>
      </c>
      <c r="H1059" s="722" t="s">
        <v>984</v>
      </c>
    </row>
    <row r="1060" spans="2:8">
      <c r="B1060" s="744" t="s">
        <v>1030</v>
      </c>
      <c r="C1060" s="744" t="s">
        <v>1031</v>
      </c>
      <c r="D1060" s="744" t="s">
        <v>1032</v>
      </c>
      <c r="E1060" s="745">
        <v>8860</v>
      </c>
      <c r="F1060" s="746" t="s">
        <v>983</v>
      </c>
      <c r="G1060" s="745">
        <v>9200</v>
      </c>
      <c r="H1060" s="746" t="s">
        <v>984</v>
      </c>
    </row>
    <row r="1061" spans="2:8">
      <c r="B1061" t="s">
        <v>1033</v>
      </c>
      <c r="C1061" t="s">
        <v>973</v>
      </c>
      <c r="D1061" t="s">
        <v>1034</v>
      </c>
      <c r="E1061" s="707">
        <v>9160</v>
      </c>
      <c r="F1061" s="722" t="s">
        <v>983</v>
      </c>
      <c r="G1061" s="707">
        <v>8550</v>
      </c>
      <c r="H1061" s="722" t="s">
        <v>984</v>
      </c>
    </row>
    <row r="1062" spans="2:8">
      <c r="B1062" s="744" t="s">
        <v>1035</v>
      </c>
      <c r="C1062" s="744" t="s">
        <v>974</v>
      </c>
      <c r="D1062" s="744" t="s">
        <v>1036</v>
      </c>
      <c r="E1062" s="745">
        <v>9300</v>
      </c>
      <c r="F1062" s="746" t="s">
        <v>983</v>
      </c>
      <c r="G1062" s="745">
        <v>7910</v>
      </c>
      <c r="H1062" s="746" t="s">
        <v>984</v>
      </c>
    </row>
    <row r="1063" spans="2:8">
      <c r="B1063" s="744" t="s">
        <v>1037</v>
      </c>
      <c r="C1063" s="744" t="s">
        <v>975</v>
      </c>
      <c r="D1063" s="744"/>
      <c r="E1063" s="745" t="s">
        <v>858</v>
      </c>
      <c r="F1063" s="746" t="s">
        <v>983</v>
      </c>
      <c r="G1063" s="745">
        <v>7190</v>
      </c>
      <c r="H1063" s="746" t="s">
        <v>984</v>
      </c>
    </row>
    <row r="1064" spans="2:8" ht="58.5" customHeight="1">
      <c r="B1064" s="747" t="s">
        <v>379</v>
      </c>
      <c r="C1064" s="748"/>
      <c r="D1064" s="749" t="s">
        <v>1038</v>
      </c>
      <c r="E1064" s="750">
        <f>(0.65*E1147)+(0.12*E1041)+(0.23*E1146)</f>
        <v>637.95000000000005</v>
      </c>
      <c r="F1064" s="743" t="s">
        <v>983</v>
      </c>
      <c r="G1064" s="750">
        <f>(0.65*G1147)+(0.12*G1041)+(0.23*G1146)</f>
        <v>612.15</v>
      </c>
      <c r="H1064" s="743" t="s">
        <v>984</v>
      </c>
    </row>
    <row r="1065" spans="2:8">
      <c r="E1065" s="707"/>
      <c r="F1065" s="707"/>
      <c r="G1065" s="707"/>
      <c r="H1065" s="707"/>
    </row>
    <row r="1066" spans="2:8">
      <c r="B1066" s="733" t="s">
        <v>1039</v>
      </c>
      <c r="C1066" s="733" t="s">
        <v>824</v>
      </c>
      <c r="D1066" s="734" t="s">
        <v>1040</v>
      </c>
      <c r="E1066" s="735" t="s">
        <v>551</v>
      </c>
      <c r="F1066" s="735" t="s">
        <v>319</v>
      </c>
      <c r="G1066" s="735" t="s">
        <v>552</v>
      </c>
      <c r="H1066" s="735" t="s">
        <v>671</v>
      </c>
    </row>
    <row r="1067" spans="2:8">
      <c r="B1067" t="s">
        <v>865</v>
      </c>
      <c r="C1067" t="s">
        <v>1041</v>
      </c>
      <c r="E1067" s="707">
        <v>16.12</v>
      </c>
      <c r="F1067" s="722" t="s">
        <v>983</v>
      </c>
      <c r="G1067" s="707">
        <v>17.940000000000001</v>
      </c>
      <c r="H1067" s="722" t="s">
        <v>984</v>
      </c>
    </row>
    <row r="1068" spans="2:8">
      <c r="B1068" t="s">
        <v>867</v>
      </c>
      <c r="C1068" t="s">
        <v>1041</v>
      </c>
      <c r="E1068" s="707">
        <v>14</v>
      </c>
      <c r="F1068" s="722" t="s">
        <v>983</v>
      </c>
      <c r="G1068" s="707">
        <v>15</v>
      </c>
      <c r="H1068" s="722" t="s">
        <v>984</v>
      </c>
    </row>
    <row r="1069" spans="2:8">
      <c r="B1069" t="s">
        <v>869</v>
      </c>
      <c r="C1069" t="s">
        <v>1041</v>
      </c>
      <c r="E1069" s="707">
        <v>18.600000000000001</v>
      </c>
      <c r="F1069" s="722" t="s">
        <v>983</v>
      </c>
      <c r="G1069" s="707">
        <v>20.7</v>
      </c>
      <c r="H1069" s="722" t="s">
        <v>984</v>
      </c>
    </row>
    <row r="1070" spans="2:8">
      <c r="B1070" t="s">
        <v>871</v>
      </c>
      <c r="C1070" t="s">
        <v>1041</v>
      </c>
      <c r="E1070" s="707">
        <v>2100</v>
      </c>
      <c r="F1070" s="722" t="s">
        <v>983</v>
      </c>
      <c r="G1070" s="707">
        <v>1902</v>
      </c>
      <c r="H1070" s="722" t="s">
        <v>984</v>
      </c>
    </row>
    <row r="1071" spans="2:8">
      <c r="B1071" t="s">
        <v>873</v>
      </c>
      <c r="C1071" t="s">
        <v>1041</v>
      </c>
      <c r="E1071" s="707">
        <v>1330</v>
      </c>
      <c r="F1071" s="722" t="s">
        <v>983</v>
      </c>
      <c r="G1071" s="707">
        <v>1205</v>
      </c>
      <c r="H1071" s="722" t="s">
        <v>984</v>
      </c>
    </row>
    <row r="1072" spans="2:8">
      <c r="B1072" t="s">
        <v>977</v>
      </c>
      <c r="C1072" t="s">
        <v>1042</v>
      </c>
      <c r="E1072" s="707">
        <v>1766</v>
      </c>
      <c r="F1072" s="722" t="s">
        <v>983</v>
      </c>
      <c r="G1072" s="707">
        <v>1780</v>
      </c>
      <c r="H1072" s="722" t="s">
        <v>984</v>
      </c>
    </row>
    <row r="1073" spans="2:8">
      <c r="B1073" t="s">
        <v>875</v>
      </c>
      <c r="C1073" t="s">
        <v>1042</v>
      </c>
      <c r="E1073" s="707">
        <v>3444</v>
      </c>
      <c r="F1073" s="722" t="s">
        <v>983</v>
      </c>
      <c r="G1073" s="707">
        <v>3471</v>
      </c>
      <c r="H1073" s="722" t="s">
        <v>984</v>
      </c>
    </row>
    <row r="1074" spans="2:8">
      <c r="B1074" t="s">
        <v>877</v>
      </c>
      <c r="C1074" t="s">
        <v>1041</v>
      </c>
      <c r="E1074" s="707">
        <v>3922</v>
      </c>
      <c r="F1074" s="722" t="s">
        <v>983</v>
      </c>
      <c r="G1074" s="707">
        <v>3943</v>
      </c>
      <c r="H1074" s="722" t="s">
        <v>984</v>
      </c>
    </row>
    <row r="1075" spans="2:8">
      <c r="B1075" t="s">
        <v>881</v>
      </c>
      <c r="C1075" t="s">
        <v>1041</v>
      </c>
      <c r="E1075" s="707">
        <v>2107</v>
      </c>
      <c r="F1075" s="722" t="s">
        <v>983</v>
      </c>
      <c r="G1075" s="707">
        <v>1923</v>
      </c>
      <c r="H1075" s="722" t="s">
        <v>984</v>
      </c>
    </row>
    <row r="1076" spans="2:8">
      <c r="B1076" t="s">
        <v>883</v>
      </c>
      <c r="C1076" t="s">
        <v>1041</v>
      </c>
      <c r="E1076" s="707">
        <v>2804</v>
      </c>
      <c r="F1076" s="722" t="s">
        <v>983</v>
      </c>
      <c r="G1076" s="707">
        <v>2547</v>
      </c>
      <c r="H1076" s="722" t="s">
        <v>984</v>
      </c>
    </row>
    <row r="1077" spans="2:8">
      <c r="B1077" t="s">
        <v>885</v>
      </c>
      <c r="C1077" t="s">
        <v>1041</v>
      </c>
      <c r="E1077" s="707">
        <v>1774</v>
      </c>
      <c r="F1077" s="722" t="s">
        <v>983</v>
      </c>
      <c r="G1077" s="707">
        <v>1624</v>
      </c>
      <c r="H1077" s="722" t="s">
        <v>984</v>
      </c>
    </row>
    <row r="1078" spans="2:8">
      <c r="B1078" t="s">
        <v>887</v>
      </c>
      <c r="C1078" t="s">
        <v>1041</v>
      </c>
      <c r="E1078" s="707">
        <v>1627</v>
      </c>
      <c r="F1078" s="722" t="s">
        <v>983</v>
      </c>
      <c r="G1078" s="707">
        <v>1487</v>
      </c>
      <c r="H1078" s="722" t="s">
        <v>984</v>
      </c>
    </row>
    <row r="1079" spans="2:8">
      <c r="B1079" t="s">
        <v>889</v>
      </c>
      <c r="C1079" t="s">
        <v>1041</v>
      </c>
      <c r="E1079" s="707">
        <v>1552</v>
      </c>
      <c r="F1079" s="722" t="s">
        <v>983</v>
      </c>
      <c r="G1079" s="707">
        <v>1425</v>
      </c>
      <c r="H1079" s="722" t="s">
        <v>984</v>
      </c>
    </row>
    <row r="1080" spans="2:8">
      <c r="B1080" t="s">
        <v>1043</v>
      </c>
      <c r="C1080" t="s">
        <v>1041</v>
      </c>
      <c r="E1080" s="707">
        <v>1825</v>
      </c>
      <c r="F1080" s="722" t="s">
        <v>983</v>
      </c>
      <c r="G1080" s="707">
        <v>1674</v>
      </c>
      <c r="H1080" s="722" t="s">
        <v>984</v>
      </c>
    </row>
    <row r="1081" spans="2:8">
      <c r="B1081" t="s">
        <v>891</v>
      </c>
      <c r="C1081" t="s">
        <v>1041</v>
      </c>
      <c r="E1081" s="707">
        <v>2301</v>
      </c>
      <c r="F1081" s="722" t="s">
        <v>983</v>
      </c>
      <c r="G1081" s="707">
        <v>2430</v>
      </c>
      <c r="H1081" s="722" t="s">
        <v>984</v>
      </c>
    </row>
    <row r="1082" spans="2:8">
      <c r="B1082" t="s">
        <v>895</v>
      </c>
      <c r="C1082" t="s">
        <v>1041</v>
      </c>
      <c r="E1082" s="707">
        <v>2088</v>
      </c>
      <c r="F1082" s="722" t="s">
        <v>983</v>
      </c>
      <c r="G1082" s="707">
        <v>1924</v>
      </c>
      <c r="H1082" s="722" t="s">
        <v>984</v>
      </c>
    </row>
    <row r="1083" spans="2:8">
      <c r="B1083" t="s">
        <v>897</v>
      </c>
      <c r="C1083" t="s">
        <v>1041</v>
      </c>
      <c r="E1083" s="707">
        <v>2229</v>
      </c>
      <c r="F1083" s="722" t="s">
        <v>983</v>
      </c>
      <c r="G1083" s="707">
        <v>2048</v>
      </c>
      <c r="H1083" s="722" t="s">
        <v>984</v>
      </c>
    </row>
    <row r="1084" spans="2:8">
      <c r="B1084" t="s">
        <v>899</v>
      </c>
      <c r="C1084" t="s">
        <v>1041</v>
      </c>
      <c r="E1084" s="707">
        <v>14</v>
      </c>
      <c r="F1084" s="722" t="s">
        <v>983</v>
      </c>
      <c r="G1084" s="707">
        <v>15</v>
      </c>
      <c r="H1084" s="722" t="s">
        <v>984</v>
      </c>
    </row>
    <row r="1085" spans="2:8">
      <c r="B1085" t="s">
        <v>901</v>
      </c>
      <c r="C1085" t="s">
        <v>1041</v>
      </c>
      <c r="E1085" s="707">
        <v>3.72</v>
      </c>
      <c r="F1085" s="722" t="s">
        <v>983</v>
      </c>
      <c r="G1085" s="707">
        <v>4.1399999999999997</v>
      </c>
      <c r="H1085" s="722" t="s">
        <v>984</v>
      </c>
    </row>
    <row r="1086" spans="2:8">
      <c r="B1086" t="s">
        <v>1044</v>
      </c>
      <c r="C1086" t="s">
        <v>1042</v>
      </c>
      <c r="E1086" s="707">
        <v>442</v>
      </c>
      <c r="F1086" s="722" t="s">
        <v>983</v>
      </c>
      <c r="G1086" s="707">
        <v>445</v>
      </c>
      <c r="H1086" s="722" t="s">
        <v>984</v>
      </c>
    </row>
    <row r="1087" spans="2:8">
      <c r="B1087" t="s">
        <v>1045</v>
      </c>
      <c r="C1087" t="s">
        <v>1041</v>
      </c>
      <c r="E1087" s="707">
        <v>22.32</v>
      </c>
      <c r="F1087" s="722" t="s">
        <v>983</v>
      </c>
      <c r="G1087" s="707">
        <v>24.84</v>
      </c>
      <c r="H1087" s="722" t="s">
        <v>984</v>
      </c>
    </row>
    <row r="1088" spans="2:8">
      <c r="B1088" t="s">
        <v>1046</v>
      </c>
      <c r="C1088" t="s">
        <v>1041</v>
      </c>
      <c r="E1088" s="707">
        <v>93</v>
      </c>
      <c r="F1088" s="722" t="s">
        <v>983</v>
      </c>
      <c r="G1088" s="707">
        <v>104</v>
      </c>
      <c r="H1088" s="722" t="s">
        <v>984</v>
      </c>
    </row>
    <row r="1089" spans="2:8">
      <c r="B1089" t="s">
        <v>1047</v>
      </c>
      <c r="C1089" t="s">
        <v>1041</v>
      </c>
      <c r="E1089" s="707">
        <v>843.7</v>
      </c>
      <c r="F1089" s="722" t="s">
        <v>983</v>
      </c>
      <c r="G1089" s="707">
        <v>767</v>
      </c>
      <c r="H1089" s="722" t="s">
        <v>984</v>
      </c>
    </row>
    <row r="1090" spans="2:8">
      <c r="B1090" t="s">
        <v>909</v>
      </c>
      <c r="C1090" t="s">
        <v>1041</v>
      </c>
      <c r="E1090" s="707">
        <v>2346</v>
      </c>
      <c r="F1090" s="722" t="s">
        <v>983</v>
      </c>
      <c r="G1090" s="707">
        <v>2127</v>
      </c>
      <c r="H1090" s="722" t="s">
        <v>984</v>
      </c>
    </row>
    <row r="1091" spans="2:8">
      <c r="B1091" t="s">
        <v>1048</v>
      </c>
      <c r="C1091" t="s">
        <v>1041</v>
      </c>
      <c r="E1091" s="707">
        <v>3027</v>
      </c>
      <c r="F1091" s="722" t="s">
        <v>983</v>
      </c>
      <c r="G1091" s="707">
        <v>2742</v>
      </c>
      <c r="H1091" s="722" t="s">
        <v>984</v>
      </c>
    </row>
    <row r="1092" spans="2:8">
      <c r="B1092" t="s">
        <v>1049</v>
      </c>
      <c r="C1092" t="s">
        <v>1041</v>
      </c>
      <c r="E1092" s="707">
        <v>1809</v>
      </c>
      <c r="F1092" s="722" t="s">
        <v>983</v>
      </c>
      <c r="G1092" s="707">
        <v>1643</v>
      </c>
      <c r="H1092" s="722" t="s">
        <v>984</v>
      </c>
    </row>
    <row r="1093" spans="2:8">
      <c r="B1093" t="s">
        <v>1050</v>
      </c>
      <c r="C1093" t="s">
        <v>1041</v>
      </c>
      <c r="E1093" s="707">
        <v>3.1</v>
      </c>
      <c r="F1093" s="722" t="s">
        <v>983</v>
      </c>
      <c r="G1093" s="707">
        <v>3.45</v>
      </c>
      <c r="H1093" s="722" t="s">
        <v>984</v>
      </c>
    </row>
    <row r="1094" spans="2:8">
      <c r="B1094" t="s">
        <v>1051</v>
      </c>
      <c r="C1094" t="s">
        <v>1041</v>
      </c>
      <c r="E1094" s="707">
        <v>2967</v>
      </c>
      <c r="F1094" s="722" t="s">
        <v>983</v>
      </c>
      <c r="G1094" s="707">
        <v>2688</v>
      </c>
      <c r="H1094" s="722" t="s">
        <v>984</v>
      </c>
    </row>
    <row r="1095" spans="2:8">
      <c r="B1095" t="s">
        <v>1052</v>
      </c>
      <c r="C1095" t="s">
        <v>1041</v>
      </c>
      <c r="E1095" s="707">
        <v>2384</v>
      </c>
      <c r="F1095" s="722" t="s">
        <v>983</v>
      </c>
      <c r="G1095" s="707">
        <v>2161</v>
      </c>
      <c r="H1095" s="722" t="s">
        <v>984</v>
      </c>
    </row>
    <row r="1096" spans="2:8">
      <c r="B1096" t="s">
        <v>1053</v>
      </c>
      <c r="C1096" t="s">
        <v>1041</v>
      </c>
      <c r="E1096" s="707">
        <v>1258</v>
      </c>
      <c r="F1096" s="722" t="s">
        <v>983</v>
      </c>
      <c r="G1096" s="707">
        <v>1144</v>
      </c>
      <c r="H1096" s="722" t="s">
        <v>984</v>
      </c>
    </row>
    <row r="1097" spans="2:8">
      <c r="B1097" t="s">
        <v>1054</v>
      </c>
      <c r="C1097" t="s">
        <v>1041</v>
      </c>
      <c r="E1097" s="707">
        <v>2631</v>
      </c>
      <c r="F1097" s="722" t="s">
        <v>983</v>
      </c>
      <c r="G1097" s="707">
        <v>2385</v>
      </c>
      <c r="H1097" s="722" t="s">
        <v>984</v>
      </c>
    </row>
    <row r="1098" spans="2:8">
      <c r="B1098" t="s">
        <v>1055</v>
      </c>
      <c r="C1098" t="s">
        <v>1041</v>
      </c>
      <c r="E1098" s="707">
        <v>3190</v>
      </c>
      <c r="F1098" s="722" t="s">
        <v>983</v>
      </c>
      <c r="G1098" s="707">
        <v>2890</v>
      </c>
      <c r="H1098" s="722" t="s">
        <v>984</v>
      </c>
    </row>
    <row r="1099" spans="2:8">
      <c r="B1099" t="s">
        <v>911</v>
      </c>
      <c r="C1099" t="s">
        <v>1041</v>
      </c>
      <c r="E1099" s="707">
        <v>3143</v>
      </c>
      <c r="F1099" s="722" t="s">
        <v>983</v>
      </c>
      <c r="G1099" s="707">
        <v>2847</v>
      </c>
      <c r="H1099" s="722" t="s">
        <v>984</v>
      </c>
    </row>
    <row r="1100" spans="2:8">
      <c r="B1100" t="s">
        <v>1056</v>
      </c>
      <c r="C1100" t="s">
        <v>1041</v>
      </c>
      <c r="E1100" s="707">
        <v>2526</v>
      </c>
      <c r="F1100" s="722" t="s">
        <v>983</v>
      </c>
      <c r="G1100" s="707">
        <v>2290</v>
      </c>
      <c r="H1100" s="722" t="s">
        <v>984</v>
      </c>
    </row>
    <row r="1101" spans="2:8">
      <c r="B1101" t="s">
        <v>1057</v>
      </c>
      <c r="C1101" t="s">
        <v>1041</v>
      </c>
      <c r="E1101" s="707">
        <v>3085</v>
      </c>
      <c r="F1101" s="722" t="s">
        <v>983</v>
      </c>
      <c r="G1101" s="707">
        <v>2794</v>
      </c>
      <c r="H1101" s="722" t="s">
        <v>984</v>
      </c>
    </row>
    <row r="1102" spans="2:8">
      <c r="B1102" t="s">
        <v>913</v>
      </c>
      <c r="C1102" t="s">
        <v>1041</v>
      </c>
      <c r="E1102" s="707">
        <v>2729</v>
      </c>
      <c r="F1102" s="722" t="s">
        <v>983</v>
      </c>
      <c r="G1102" s="707">
        <v>2473</v>
      </c>
      <c r="H1102" s="722" t="s">
        <v>984</v>
      </c>
    </row>
    <row r="1103" spans="2:8">
      <c r="B1103" t="s">
        <v>1058</v>
      </c>
      <c r="C1103" t="s">
        <v>1041</v>
      </c>
      <c r="E1103" s="707">
        <v>2592</v>
      </c>
      <c r="F1103" s="722" t="s">
        <v>983</v>
      </c>
      <c r="G1103" s="707">
        <v>2350</v>
      </c>
      <c r="H1103" s="722" t="s">
        <v>984</v>
      </c>
    </row>
    <row r="1104" spans="2:8">
      <c r="B1104" t="s">
        <v>915</v>
      </c>
      <c r="C1104" t="s">
        <v>1041</v>
      </c>
      <c r="E1104" s="707">
        <v>2280</v>
      </c>
      <c r="F1104" s="722" t="s">
        <v>983</v>
      </c>
      <c r="G1104" s="707">
        <v>2274</v>
      </c>
      <c r="H1104" s="722" t="s">
        <v>984</v>
      </c>
    </row>
    <row r="1105" spans="2:8">
      <c r="B1105" t="s">
        <v>917</v>
      </c>
      <c r="C1105" t="s">
        <v>1041</v>
      </c>
      <c r="E1105" s="707">
        <v>2440</v>
      </c>
      <c r="F1105" s="722" t="s">
        <v>983</v>
      </c>
      <c r="G1105" s="707">
        <v>2212</v>
      </c>
      <c r="H1105" s="722" t="s">
        <v>984</v>
      </c>
    </row>
    <row r="1106" spans="2:8">
      <c r="B1106" t="s">
        <v>1059</v>
      </c>
      <c r="C1106" t="s">
        <v>1041</v>
      </c>
      <c r="E1106" s="707">
        <v>1505</v>
      </c>
      <c r="F1106" s="722" t="s">
        <v>983</v>
      </c>
      <c r="G1106" s="707">
        <v>1431</v>
      </c>
      <c r="H1106" s="722" t="s">
        <v>984</v>
      </c>
    </row>
    <row r="1107" spans="2:8">
      <c r="B1107" t="s">
        <v>919</v>
      </c>
      <c r="C1107" t="s">
        <v>1041</v>
      </c>
      <c r="E1107" s="707">
        <v>1508</v>
      </c>
      <c r="F1107" s="722" t="s">
        <v>983</v>
      </c>
      <c r="G1107" s="707">
        <v>1371</v>
      </c>
      <c r="H1107" s="722" t="s">
        <v>984</v>
      </c>
    </row>
    <row r="1108" spans="2:8">
      <c r="B1108" t="s">
        <v>1060</v>
      </c>
      <c r="C1108" t="s">
        <v>1041</v>
      </c>
      <c r="E1108" s="707">
        <v>2138</v>
      </c>
      <c r="F1108" s="722" t="s">
        <v>983</v>
      </c>
      <c r="G1108" s="707">
        <v>2024</v>
      </c>
      <c r="H1108" s="722" t="s">
        <v>984</v>
      </c>
    </row>
    <row r="1109" spans="2:8">
      <c r="B1109" t="s">
        <v>921</v>
      </c>
      <c r="C1109" t="s">
        <v>1041</v>
      </c>
      <c r="E1109" s="707">
        <v>3607</v>
      </c>
      <c r="F1109" s="722" t="s">
        <v>983</v>
      </c>
      <c r="G1109" s="707">
        <v>3417</v>
      </c>
      <c r="H1109" s="722" t="s">
        <v>984</v>
      </c>
    </row>
    <row r="1110" spans="2:8">
      <c r="B1110" t="s">
        <v>1061</v>
      </c>
      <c r="C1110" t="s">
        <v>1041</v>
      </c>
      <c r="E1110" s="707">
        <v>12</v>
      </c>
      <c r="F1110" s="722" t="s">
        <v>983</v>
      </c>
      <c r="G1110" s="707">
        <v>14</v>
      </c>
      <c r="H1110" s="722" t="s">
        <v>984</v>
      </c>
    </row>
    <row r="1111" spans="2:8">
      <c r="B1111" t="s">
        <v>1062</v>
      </c>
      <c r="C1111" t="s">
        <v>1041</v>
      </c>
      <c r="E1111" s="707">
        <v>94.24</v>
      </c>
      <c r="F1111" s="722" t="s">
        <v>983</v>
      </c>
      <c r="G1111" s="707">
        <v>104.88</v>
      </c>
      <c r="H1111" s="722" t="s">
        <v>984</v>
      </c>
    </row>
    <row r="1112" spans="2:8">
      <c r="B1112" t="s">
        <v>1063</v>
      </c>
      <c r="C1112" t="s">
        <v>1041</v>
      </c>
      <c r="E1112" s="707">
        <v>36</v>
      </c>
      <c r="F1112" s="722" t="s">
        <v>983</v>
      </c>
      <c r="G1112" s="707">
        <v>40</v>
      </c>
      <c r="H1112" s="722" t="s">
        <v>984</v>
      </c>
    </row>
    <row r="1113" spans="2:8">
      <c r="B1113" t="s">
        <v>923</v>
      </c>
      <c r="C1113" t="s">
        <v>1041</v>
      </c>
      <c r="E1113" s="707">
        <v>3245</v>
      </c>
      <c r="F1113" s="722" t="s">
        <v>983</v>
      </c>
      <c r="G1113" s="707">
        <v>3075</v>
      </c>
      <c r="H1113" s="722" t="s">
        <v>984</v>
      </c>
    </row>
    <row r="1114" spans="2:8">
      <c r="B1114" t="s">
        <v>1064</v>
      </c>
      <c r="C1114" t="s">
        <v>1041</v>
      </c>
      <c r="E1114" s="707">
        <v>25</v>
      </c>
      <c r="F1114" s="722" t="s">
        <v>983</v>
      </c>
      <c r="G1114" s="707">
        <v>28</v>
      </c>
      <c r="H1114" s="722" t="s">
        <v>984</v>
      </c>
    </row>
    <row r="1115" spans="2:8">
      <c r="B1115" t="s">
        <v>1065</v>
      </c>
      <c r="C1115" t="s">
        <v>1041</v>
      </c>
      <c r="E1115" s="707">
        <v>1805</v>
      </c>
      <c r="F1115" s="722" t="s">
        <v>983</v>
      </c>
      <c r="G1115" s="707">
        <v>1639</v>
      </c>
      <c r="H1115" s="722" t="s">
        <v>984</v>
      </c>
    </row>
    <row r="1116" spans="2:8">
      <c r="B1116" t="s">
        <v>1066</v>
      </c>
      <c r="C1116" t="s">
        <v>1041</v>
      </c>
      <c r="E1116" s="707">
        <v>2264</v>
      </c>
      <c r="F1116" s="722" t="s">
        <v>983</v>
      </c>
      <c r="G1116" s="707">
        <v>2059</v>
      </c>
      <c r="H1116" s="722" t="s">
        <v>984</v>
      </c>
    </row>
    <row r="1117" spans="2:8">
      <c r="B1117" t="s">
        <v>1067</v>
      </c>
      <c r="C1117" t="s">
        <v>1041</v>
      </c>
      <c r="E1117" s="707">
        <v>1983</v>
      </c>
      <c r="F1117" s="722" t="s">
        <v>983</v>
      </c>
      <c r="G1117" s="707">
        <v>1828</v>
      </c>
      <c r="H1117" s="722" t="s">
        <v>984</v>
      </c>
    </row>
    <row r="1118" spans="2:8">
      <c r="B1118" t="s">
        <v>1067</v>
      </c>
      <c r="C1118" t="s">
        <v>1041</v>
      </c>
      <c r="E1118" s="707">
        <v>1983</v>
      </c>
      <c r="F1118" s="722" t="s">
        <v>983</v>
      </c>
      <c r="G1118" s="707">
        <v>1828</v>
      </c>
      <c r="H1118" s="722" t="s">
        <v>984</v>
      </c>
    </row>
    <row r="1119" spans="2:8">
      <c r="B1119" t="s">
        <v>1067</v>
      </c>
      <c r="C1119" t="s">
        <v>1041</v>
      </c>
      <c r="E1119" s="707">
        <v>1983</v>
      </c>
      <c r="F1119" s="722" t="s">
        <v>983</v>
      </c>
      <c r="G1119" s="707">
        <v>1828</v>
      </c>
      <c r="H1119" s="722" t="s">
        <v>984</v>
      </c>
    </row>
    <row r="1120" spans="2:8">
      <c r="B1120" t="s">
        <v>1068</v>
      </c>
      <c r="C1120" t="s">
        <v>1041</v>
      </c>
      <c r="E1120" s="707">
        <v>87</v>
      </c>
      <c r="F1120" s="722" t="s">
        <v>983</v>
      </c>
      <c r="G1120" s="707">
        <v>88</v>
      </c>
      <c r="H1120" s="722" t="s">
        <v>984</v>
      </c>
    </row>
    <row r="1121" spans="2:8">
      <c r="B1121" t="s">
        <v>1069</v>
      </c>
      <c r="C1121" t="s">
        <v>1041</v>
      </c>
      <c r="E1121" s="707">
        <v>128.69999999999999</v>
      </c>
      <c r="F1121" s="722" t="s">
        <v>983</v>
      </c>
      <c r="G1121" s="707">
        <v>117</v>
      </c>
      <c r="H1121" s="722" t="s">
        <v>984</v>
      </c>
    </row>
    <row r="1122" spans="2:8">
      <c r="B1122" t="s">
        <v>925</v>
      </c>
      <c r="C1122" t="s">
        <v>1041</v>
      </c>
      <c r="E1122" s="707">
        <v>32</v>
      </c>
      <c r="F1122" s="722" t="s">
        <v>983</v>
      </c>
      <c r="G1122" s="707">
        <v>36</v>
      </c>
      <c r="H1122" s="722" t="s">
        <v>984</v>
      </c>
    </row>
    <row r="1123" spans="2:8">
      <c r="B1123" t="s">
        <v>1070</v>
      </c>
      <c r="C1123" t="s">
        <v>1041</v>
      </c>
      <c r="E1123" s="707">
        <v>5935</v>
      </c>
      <c r="F1123" s="722" t="s">
        <v>983</v>
      </c>
      <c r="G1123" s="707">
        <v>4972</v>
      </c>
      <c r="H1123" s="722" t="s">
        <v>984</v>
      </c>
    </row>
    <row r="1124" spans="2:8">
      <c r="B1124" t="s">
        <v>929</v>
      </c>
      <c r="C1124" t="s">
        <v>1041</v>
      </c>
      <c r="E1124" s="707">
        <v>325</v>
      </c>
      <c r="F1124" s="722" t="s">
        <v>983</v>
      </c>
      <c r="G1124" s="707">
        <v>326</v>
      </c>
      <c r="H1124" s="722" t="s">
        <v>984</v>
      </c>
    </row>
    <row r="1125" spans="2:8">
      <c r="B1125" t="s">
        <v>931</v>
      </c>
      <c r="C1125" t="s">
        <v>1041</v>
      </c>
      <c r="E1125" s="707">
        <v>3985</v>
      </c>
      <c r="F1125" s="722" t="s">
        <v>983</v>
      </c>
      <c r="G1125" s="707">
        <v>3985</v>
      </c>
      <c r="H1125" s="722" t="s">
        <v>984</v>
      </c>
    </row>
    <row r="1126" spans="2:8">
      <c r="B1126" t="s">
        <v>1071</v>
      </c>
      <c r="C1126" t="s">
        <v>1041</v>
      </c>
      <c r="E1126" s="707">
        <v>3985</v>
      </c>
      <c r="F1126" s="722" t="s">
        <v>983</v>
      </c>
      <c r="G1126" s="707">
        <v>3985</v>
      </c>
      <c r="H1126" s="722" t="s">
        <v>984</v>
      </c>
    </row>
    <row r="1127" spans="2:8">
      <c r="B1127" t="s">
        <v>1072</v>
      </c>
      <c r="C1127" t="s">
        <v>1042</v>
      </c>
      <c r="E1127" s="707">
        <v>4945</v>
      </c>
      <c r="F1127" s="722" t="s">
        <v>983</v>
      </c>
      <c r="G1127" s="707">
        <v>4984</v>
      </c>
      <c r="H1127" s="722" t="s">
        <v>984</v>
      </c>
    </row>
    <row r="1128" spans="2:8">
      <c r="B1128" t="s">
        <v>1073</v>
      </c>
      <c r="C1128" t="s">
        <v>1042</v>
      </c>
      <c r="E1128" s="707">
        <v>4945</v>
      </c>
      <c r="F1128" s="722" t="s">
        <v>983</v>
      </c>
      <c r="G1128" s="707">
        <v>4984</v>
      </c>
      <c r="H1128" s="722" t="s">
        <v>984</v>
      </c>
    </row>
    <row r="1129" spans="2:8">
      <c r="B1129" t="s">
        <v>1074</v>
      </c>
      <c r="C1129" t="s">
        <v>1041</v>
      </c>
      <c r="E1129" s="707">
        <v>189.3</v>
      </c>
      <c r="F1129" s="722" t="s">
        <v>983</v>
      </c>
      <c r="G1129" s="707">
        <v>196.1</v>
      </c>
      <c r="H1129" s="722" t="s">
        <v>984</v>
      </c>
    </row>
    <row r="1130" spans="2:8">
      <c r="E1130" s="707"/>
      <c r="F1130" s="707"/>
      <c r="G1130" s="707"/>
      <c r="H1130" s="707"/>
    </row>
    <row r="1131" spans="2:8">
      <c r="B1131" s="736" t="s">
        <v>978</v>
      </c>
      <c r="C1131" s="737" t="s">
        <v>979</v>
      </c>
      <c r="D1131" s="737" t="s">
        <v>980</v>
      </c>
      <c r="E1131" s="738" t="s">
        <v>551</v>
      </c>
      <c r="F1131" s="738" t="s">
        <v>319</v>
      </c>
      <c r="G1131" s="739" t="s">
        <v>552</v>
      </c>
      <c r="H1131" s="739" t="s">
        <v>671</v>
      </c>
    </row>
    <row r="1132" spans="2:8">
      <c r="B1132" s="709" t="s">
        <v>1075</v>
      </c>
      <c r="C1132" s="710"/>
      <c r="D1132" s="711"/>
      <c r="E1132" s="711"/>
      <c r="F1132" s="711"/>
      <c r="G1132" s="712"/>
      <c r="H1132" s="712"/>
    </row>
    <row r="1133" spans="2:8" ht="15.75">
      <c r="B1133" s="713" t="s">
        <v>1076</v>
      </c>
      <c r="C1133" s="713" t="s">
        <v>1077</v>
      </c>
      <c r="D1133" s="714"/>
      <c r="E1133" s="714">
        <v>4750</v>
      </c>
      <c r="F1133" s="722" t="s">
        <v>983</v>
      </c>
      <c r="G1133" s="707">
        <v>4660</v>
      </c>
      <c r="H1133" s="722" t="s">
        <v>984</v>
      </c>
    </row>
    <row r="1134" spans="2:8" ht="15.75">
      <c r="B1134" s="713" t="s">
        <v>1078</v>
      </c>
      <c r="C1134" s="713" t="s">
        <v>1079</v>
      </c>
      <c r="D1134" s="714"/>
      <c r="E1134" s="714">
        <v>10900</v>
      </c>
      <c r="F1134" s="722" t="s">
        <v>983</v>
      </c>
      <c r="G1134" s="707">
        <v>10200</v>
      </c>
      <c r="H1134" s="722" t="s">
        <v>984</v>
      </c>
    </row>
    <row r="1135" spans="2:8" ht="15.75">
      <c r="B1135" s="713" t="s">
        <v>1080</v>
      </c>
      <c r="C1135" s="713" t="s">
        <v>1081</v>
      </c>
      <c r="D1135" s="714"/>
      <c r="E1135" s="714">
        <v>14400</v>
      </c>
      <c r="F1135" s="722" t="s">
        <v>983</v>
      </c>
      <c r="G1135" s="707">
        <v>13900</v>
      </c>
      <c r="H1135" s="722" t="s">
        <v>984</v>
      </c>
    </row>
    <row r="1136" spans="2:8" ht="15.75">
      <c r="B1136" s="713" t="s">
        <v>1082</v>
      </c>
      <c r="C1136" s="713" t="s">
        <v>1083</v>
      </c>
      <c r="D1136" s="714"/>
      <c r="E1136" s="714">
        <v>6130</v>
      </c>
      <c r="F1136" s="722" t="s">
        <v>983</v>
      </c>
      <c r="G1136" s="707">
        <v>5820</v>
      </c>
      <c r="H1136" s="722" t="s">
        <v>984</v>
      </c>
    </row>
    <row r="1137" spans="2:8" ht="15.75">
      <c r="B1137" s="713" t="s">
        <v>1084</v>
      </c>
      <c r="C1137" s="713" t="s">
        <v>1085</v>
      </c>
      <c r="D1137" s="714"/>
      <c r="E1137" s="714">
        <v>10000</v>
      </c>
      <c r="F1137" s="722" t="s">
        <v>983</v>
      </c>
      <c r="G1137" s="707">
        <v>8590</v>
      </c>
      <c r="H1137" s="722" t="s">
        <v>984</v>
      </c>
    </row>
    <row r="1138" spans="2:8" ht="15.75">
      <c r="B1138" s="713" t="s">
        <v>1086</v>
      </c>
      <c r="C1138" s="713" t="s">
        <v>1087</v>
      </c>
      <c r="D1138" s="714"/>
      <c r="E1138" s="714">
        <v>7370</v>
      </c>
      <c r="F1138" s="722" t="s">
        <v>983</v>
      </c>
      <c r="G1138" s="707">
        <v>7670</v>
      </c>
      <c r="H1138" s="722" t="s">
        <v>984</v>
      </c>
    </row>
    <row r="1139" spans="2:8" ht="15.75">
      <c r="B1139" s="713" t="s">
        <v>1088</v>
      </c>
      <c r="C1139" s="713" t="s">
        <v>1089</v>
      </c>
      <c r="D1139" s="714"/>
      <c r="E1139" s="714">
        <v>7140</v>
      </c>
      <c r="F1139" s="722" t="s">
        <v>983</v>
      </c>
      <c r="G1139" s="707">
        <v>6290</v>
      </c>
      <c r="H1139" s="722" t="s">
        <v>984</v>
      </c>
    </row>
    <row r="1140" spans="2:8" ht="15.75">
      <c r="B1140" s="713" t="s">
        <v>1090</v>
      </c>
      <c r="C1140" s="713" t="s">
        <v>1091</v>
      </c>
      <c r="D1140" s="714"/>
      <c r="E1140" s="714">
        <v>1890</v>
      </c>
      <c r="F1140" s="722" t="s">
        <v>983</v>
      </c>
      <c r="G1140" s="707">
        <v>1750</v>
      </c>
      <c r="H1140" s="722" t="s">
        <v>984</v>
      </c>
    </row>
    <row r="1141" spans="2:8" ht="15.75">
      <c r="B1141" s="713" t="s">
        <v>1092</v>
      </c>
      <c r="C1141" s="713" t="s">
        <v>1093</v>
      </c>
      <c r="D1141" s="714"/>
      <c r="E1141" s="714">
        <v>1640</v>
      </c>
      <c r="F1141" s="722" t="s">
        <v>983</v>
      </c>
      <c r="G1141" s="707">
        <v>1470</v>
      </c>
      <c r="H1141" s="722" t="s">
        <v>984</v>
      </c>
    </row>
    <row r="1142" spans="2:8" ht="15.75">
      <c r="B1142" s="713" t="s">
        <v>1094</v>
      </c>
      <c r="C1142" s="713" t="s">
        <v>1095</v>
      </c>
      <c r="D1142" s="714"/>
      <c r="E1142" s="714">
        <v>1400</v>
      </c>
      <c r="F1142" s="722" t="s">
        <v>983</v>
      </c>
      <c r="G1142" s="707">
        <v>1730</v>
      </c>
      <c r="H1142" s="722" t="s">
        <v>984</v>
      </c>
    </row>
    <row r="1143" spans="2:8" ht="15.75">
      <c r="B1143" s="713" t="s">
        <v>1096</v>
      </c>
      <c r="C1143" s="713" t="s">
        <v>1097</v>
      </c>
      <c r="D1143" s="714"/>
      <c r="E1143" s="714">
        <v>5</v>
      </c>
      <c r="F1143" s="722" t="s">
        <v>983</v>
      </c>
      <c r="G1143" s="707">
        <v>2</v>
      </c>
      <c r="H1143" s="722" t="s">
        <v>984</v>
      </c>
    </row>
    <row r="1144" spans="2:8" ht="15.75">
      <c r="B1144" s="713" t="s">
        <v>1098</v>
      </c>
      <c r="C1144" s="713" t="s">
        <v>1099</v>
      </c>
      <c r="D1144" s="714"/>
      <c r="E1144" s="714">
        <v>146</v>
      </c>
      <c r="F1144" s="722" t="s">
        <v>983</v>
      </c>
      <c r="G1144" s="707">
        <v>160</v>
      </c>
      <c r="H1144" s="722" t="s">
        <v>984</v>
      </c>
    </row>
    <row r="1145" spans="2:8" ht="15.75">
      <c r="B1145" s="713" t="s">
        <v>1100</v>
      </c>
      <c r="C1145" s="713" t="s">
        <v>1101</v>
      </c>
      <c r="D1145" s="714"/>
      <c r="E1145" s="715" t="s">
        <v>1040</v>
      </c>
      <c r="F1145" s="722" t="s">
        <v>983</v>
      </c>
      <c r="G1145" s="707">
        <v>148</v>
      </c>
      <c r="H1145" s="722" t="s">
        <v>984</v>
      </c>
    </row>
    <row r="1146" spans="2:8" ht="15.75">
      <c r="B1146" s="713" t="s">
        <v>1102</v>
      </c>
      <c r="C1146" s="713" t="s">
        <v>1103</v>
      </c>
      <c r="D1146" s="714"/>
      <c r="E1146" s="714">
        <v>1810</v>
      </c>
      <c r="F1146" s="722" t="s">
        <v>983</v>
      </c>
      <c r="G1146" s="707">
        <v>1760</v>
      </c>
      <c r="H1146" s="722" t="s">
        <v>984</v>
      </c>
    </row>
    <row r="1147" spans="2:8" ht="15.75">
      <c r="B1147" s="713" t="s">
        <v>1104</v>
      </c>
      <c r="C1147" s="713" t="s">
        <v>1105</v>
      </c>
      <c r="D1147" s="714"/>
      <c r="E1147" s="714">
        <v>77</v>
      </c>
      <c r="F1147" s="722" t="s">
        <v>983</v>
      </c>
      <c r="G1147" s="707">
        <v>79</v>
      </c>
      <c r="H1147" s="722" t="s">
        <v>984</v>
      </c>
    </row>
    <row r="1148" spans="2:8" ht="15.75">
      <c r="B1148" s="713" t="s">
        <v>1106</v>
      </c>
      <c r="C1148" s="713" t="s">
        <v>1107</v>
      </c>
      <c r="D1148" s="714"/>
      <c r="E1148" s="714">
        <v>609</v>
      </c>
      <c r="F1148" s="722" t="s">
        <v>983</v>
      </c>
      <c r="G1148" s="707">
        <v>527</v>
      </c>
      <c r="H1148" s="722" t="s">
        <v>984</v>
      </c>
    </row>
    <row r="1149" spans="2:8" ht="15.75">
      <c r="B1149" s="713" t="s">
        <v>1108</v>
      </c>
      <c r="C1149" s="713" t="s">
        <v>1109</v>
      </c>
      <c r="D1149" s="714"/>
      <c r="E1149" s="714">
        <v>725</v>
      </c>
      <c r="F1149" s="722" t="s">
        <v>983</v>
      </c>
      <c r="G1149" s="707">
        <v>782</v>
      </c>
      <c r="H1149" s="722" t="s">
        <v>984</v>
      </c>
    </row>
    <row r="1150" spans="2:8" ht="15.75">
      <c r="B1150" s="713" t="s">
        <v>1110</v>
      </c>
      <c r="C1150" s="713" t="s">
        <v>1111</v>
      </c>
      <c r="D1150" s="714"/>
      <c r="E1150" s="714">
        <v>2310</v>
      </c>
      <c r="F1150" s="722" t="s">
        <v>983</v>
      </c>
      <c r="G1150" s="707">
        <v>1980</v>
      </c>
      <c r="H1150" s="722" t="s">
        <v>984</v>
      </c>
    </row>
    <row r="1151" spans="2:8" ht="15.75">
      <c r="B1151" s="713" t="s">
        <v>1112</v>
      </c>
      <c r="C1151" s="713" t="s">
        <v>1113</v>
      </c>
      <c r="D1151" s="714"/>
      <c r="E1151" s="714">
        <v>122</v>
      </c>
      <c r="F1151" s="722" t="s">
        <v>983</v>
      </c>
      <c r="G1151" s="707">
        <v>127</v>
      </c>
      <c r="H1151" s="722" t="s">
        <v>984</v>
      </c>
    </row>
    <row r="1152" spans="2:8" ht="15.75">
      <c r="B1152" s="713" t="s">
        <v>1114</v>
      </c>
      <c r="C1152" s="713" t="s">
        <v>1115</v>
      </c>
      <c r="D1152" s="714"/>
      <c r="E1152" s="714">
        <v>595</v>
      </c>
      <c r="F1152" s="722" t="s">
        <v>983</v>
      </c>
      <c r="G1152" s="707">
        <v>525</v>
      </c>
      <c r="H1152" s="722" t="s">
        <v>984</v>
      </c>
    </row>
    <row r="1153" spans="2:8">
      <c r="B1153" s="709" t="s">
        <v>1116</v>
      </c>
      <c r="C1153" s="710"/>
      <c r="D1153" s="711"/>
      <c r="E1153" s="711"/>
      <c r="F1153" s="711"/>
      <c r="G1153" s="712"/>
      <c r="H1153" s="712"/>
    </row>
    <row r="1154" spans="2:8" ht="15.75">
      <c r="B1154" s="713" t="s">
        <v>1117</v>
      </c>
      <c r="C1154" s="713" t="s">
        <v>1118</v>
      </c>
      <c r="D1154" s="714"/>
      <c r="E1154" s="714">
        <v>14900</v>
      </c>
      <c r="F1154" s="722" t="s">
        <v>983</v>
      </c>
      <c r="G1154" s="707">
        <v>12400</v>
      </c>
      <c r="H1154" s="722" t="s">
        <v>984</v>
      </c>
    </row>
    <row r="1155" spans="2:8" ht="15.75">
      <c r="B1155" s="713" t="s">
        <v>1119</v>
      </c>
      <c r="C1155" s="713" t="s">
        <v>1120</v>
      </c>
      <c r="D1155" s="714"/>
      <c r="E1155" s="714">
        <v>6320</v>
      </c>
      <c r="F1155" s="722" t="s">
        <v>983</v>
      </c>
      <c r="G1155" s="707">
        <v>5560</v>
      </c>
      <c r="H1155" s="722" t="s">
        <v>984</v>
      </c>
    </row>
    <row r="1156" spans="2:8" ht="15.75">
      <c r="B1156" s="713" t="s">
        <v>1121</v>
      </c>
      <c r="C1156" s="713" t="s">
        <v>1122</v>
      </c>
      <c r="D1156" s="714"/>
      <c r="E1156" s="714">
        <v>756</v>
      </c>
      <c r="F1156" s="722" t="s">
        <v>983</v>
      </c>
      <c r="G1156" s="707">
        <v>523</v>
      </c>
      <c r="H1156" s="722" t="s">
        <v>984</v>
      </c>
    </row>
    <row r="1157" spans="2:8" ht="15.75">
      <c r="B1157" s="713" t="s">
        <v>1123</v>
      </c>
      <c r="C1157" s="713" t="s">
        <v>1124</v>
      </c>
      <c r="D1157" s="714"/>
      <c r="E1157" s="714">
        <v>350</v>
      </c>
      <c r="F1157" s="722" t="s">
        <v>983</v>
      </c>
      <c r="G1157" s="707">
        <v>491</v>
      </c>
      <c r="H1157" s="722" t="s">
        <v>984</v>
      </c>
    </row>
    <row r="1158" spans="2:8" ht="15.75">
      <c r="B1158" s="713" t="s">
        <v>1125</v>
      </c>
      <c r="C1158" s="713" t="s">
        <v>1126</v>
      </c>
      <c r="D1158" s="714"/>
      <c r="E1158" s="714">
        <v>708</v>
      </c>
      <c r="F1158" s="722" t="s">
        <v>983</v>
      </c>
      <c r="G1158" s="707">
        <v>654</v>
      </c>
      <c r="H1158" s="722" t="s">
        <v>984</v>
      </c>
    </row>
    <row r="1159" spans="2:8" ht="15.75">
      <c r="B1159" s="713" t="s">
        <v>1127</v>
      </c>
      <c r="C1159" s="713" t="s">
        <v>1128</v>
      </c>
      <c r="D1159" s="714"/>
      <c r="E1159" s="714">
        <v>659</v>
      </c>
      <c r="F1159" s="722" t="s">
        <v>983</v>
      </c>
      <c r="G1159" s="707">
        <v>812</v>
      </c>
      <c r="H1159" s="722" t="s">
        <v>984</v>
      </c>
    </row>
    <row r="1160" spans="2:8" ht="15.75">
      <c r="B1160" s="713" t="s">
        <v>1129</v>
      </c>
      <c r="C1160" s="713" t="s">
        <v>1130</v>
      </c>
      <c r="D1160" s="714"/>
      <c r="E1160" s="714">
        <v>359</v>
      </c>
      <c r="F1160" s="722" t="s">
        <v>983</v>
      </c>
      <c r="G1160" s="707">
        <v>301</v>
      </c>
      <c r="H1160" s="722" t="s">
        <v>984</v>
      </c>
    </row>
    <row r="1161" spans="2:8" ht="15.75">
      <c r="B1161" s="713" t="s">
        <v>1131</v>
      </c>
      <c r="C1161" s="713" t="s">
        <v>1132</v>
      </c>
      <c r="D1161" s="714"/>
      <c r="E1161" s="714">
        <v>575</v>
      </c>
      <c r="F1161" s="722" t="s">
        <v>983</v>
      </c>
      <c r="G1161" s="707">
        <v>530</v>
      </c>
      <c r="H1161" s="722" t="s">
        <v>984</v>
      </c>
    </row>
    <row r="1162" spans="2:8" ht="15.75">
      <c r="B1162" s="713" t="s">
        <v>1133</v>
      </c>
      <c r="C1162" s="713" t="s">
        <v>1134</v>
      </c>
      <c r="D1162" s="714"/>
      <c r="E1162" s="715" t="s">
        <v>1040</v>
      </c>
      <c r="F1162" s="722" t="s">
        <v>983</v>
      </c>
      <c r="G1162" s="707">
        <v>363</v>
      </c>
      <c r="H1162" s="722" t="s">
        <v>984</v>
      </c>
    </row>
    <row r="1163" spans="2:8" ht="15.75">
      <c r="B1163" s="713" t="s">
        <v>1135</v>
      </c>
      <c r="C1163" s="713" t="s">
        <v>1136</v>
      </c>
      <c r="D1163" s="714"/>
      <c r="E1163" s="714">
        <v>580</v>
      </c>
      <c r="F1163" s="722" t="s">
        <v>983</v>
      </c>
      <c r="G1163" s="707">
        <v>889</v>
      </c>
      <c r="H1163" s="722" t="s">
        <v>984</v>
      </c>
    </row>
    <row r="1164" spans="2:8" ht="15.75">
      <c r="B1164" s="713" t="s">
        <v>1137</v>
      </c>
      <c r="C1164" s="713" t="s">
        <v>1138</v>
      </c>
      <c r="D1164" s="714"/>
      <c r="E1164" s="714">
        <v>110</v>
      </c>
      <c r="F1164" s="722" t="s">
        <v>983</v>
      </c>
      <c r="G1164" s="707">
        <v>413</v>
      </c>
      <c r="H1164" s="722" t="s">
        <v>984</v>
      </c>
    </row>
    <row r="1165" spans="2:8" ht="15.75">
      <c r="B1165" s="713" t="s">
        <v>1139</v>
      </c>
      <c r="C1165" s="713" t="s">
        <v>1140</v>
      </c>
      <c r="D1165" s="714"/>
      <c r="E1165" s="715" t="s">
        <v>1040</v>
      </c>
      <c r="F1165" s="722" t="s">
        <v>983</v>
      </c>
      <c r="G1165" s="707">
        <v>446</v>
      </c>
      <c r="H1165" s="722" t="s">
        <v>984</v>
      </c>
    </row>
    <row r="1166" spans="2:8" ht="15.75">
      <c r="B1166" s="713" t="s">
        <v>1141</v>
      </c>
      <c r="C1166" s="713" t="s">
        <v>1142</v>
      </c>
      <c r="D1166" s="714"/>
      <c r="E1166" s="715" t="s">
        <v>1040</v>
      </c>
      <c r="F1166" s="722" t="s">
        <v>983</v>
      </c>
      <c r="G1166" s="707">
        <v>627</v>
      </c>
      <c r="H1166" s="722" t="s">
        <v>984</v>
      </c>
    </row>
    <row r="1167" spans="2:8" ht="15.75">
      <c r="B1167" s="713" t="s">
        <v>1143</v>
      </c>
      <c r="C1167" s="713" t="s">
        <v>1144</v>
      </c>
      <c r="D1167" s="714"/>
      <c r="E1167" s="714">
        <v>297</v>
      </c>
      <c r="F1167" s="722" t="s">
        <v>983</v>
      </c>
      <c r="G1167" s="707">
        <v>421</v>
      </c>
      <c r="H1167" s="722" t="s">
        <v>984</v>
      </c>
    </row>
    <row r="1168" spans="2:8" ht="15.75">
      <c r="B1168" s="713" t="s">
        <v>1145</v>
      </c>
      <c r="C1168" s="713" t="s">
        <v>1146</v>
      </c>
      <c r="D1168" s="714"/>
      <c r="E1168" s="714">
        <v>59</v>
      </c>
      <c r="F1168" s="722" t="s">
        <v>983</v>
      </c>
      <c r="G1168" s="707">
        <v>57</v>
      </c>
      <c r="H1168" s="722" t="s">
        <v>984</v>
      </c>
    </row>
    <row r="1169" spans="2:8" ht="15.75">
      <c r="B1169" s="713" t="s">
        <v>1147</v>
      </c>
      <c r="C1169" s="713" t="s">
        <v>1148</v>
      </c>
      <c r="D1169" s="714"/>
      <c r="E1169" s="714">
        <v>1870</v>
      </c>
      <c r="F1169" s="722" t="s">
        <v>983</v>
      </c>
      <c r="G1169" s="707">
        <v>2820</v>
      </c>
      <c r="H1169" s="722" t="s">
        <v>984</v>
      </c>
    </row>
    <row r="1170" spans="2:8" ht="15.75">
      <c r="B1170" s="713" t="s">
        <v>1149</v>
      </c>
      <c r="C1170" s="713" t="s">
        <v>1150</v>
      </c>
      <c r="D1170" s="714"/>
      <c r="E1170" s="714">
        <v>2800</v>
      </c>
      <c r="F1170" s="722" t="s">
        <v>983</v>
      </c>
      <c r="G1170" s="707">
        <v>5350</v>
      </c>
      <c r="H1170" s="722" t="s">
        <v>984</v>
      </c>
    </row>
    <row r="1171" spans="2:8" ht="15.75">
      <c r="B1171" s="713" t="s">
        <v>1151</v>
      </c>
      <c r="C1171" s="713" t="s">
        <v>1152</v>
      </c>
      <c r="D1171" s="714"/>
      <c r="E1171" s="714">
        <v>1500</v>
      </c>
      <c r="F1171" s="722" t="s">
        <v>983</v>
      </c>
      <c r="G1171" s="707">
        <v>2910</v>
      </c>
      <c r="H1171" s="722" t="s">
        <v>984</v>
      </c>
    </row>
    <row r="1172" spans="2:8">
      <c r="B1172" s="709" t="s">
        <v>1153</v>
      </c>
      <c r="C1172" s="709"/>
      <c r="D1172" s="711"/>
      <c r="E1172" s="711"/>
      <c r="F1172" s="711"/>
      <c r="G1172" s="712"/>
      <c r="H1172" s="712"/>
    </row>
    <row r="1173" spans="2:8" ht="15.75">
      <c r="B1173" s="713" t="s">
        <v>1154</v>
      </c>
      <c r="C1173" s="713" t="s">
        <v>1155</v>
      </c>
      <c r="D1173" s="714"/>
      <c r="E1173" s="714">
        <v>10300</v>
      </c>
      <c r="F1173" s="722" t="s">
        <v>983</v>
      </c>
      <c r="G1173" s="707">
        <v>9710</v>
      </c>
      <c r="H1173" s="722" t="s">
        <v>984</v>
      </c>
    </row>
    <row r="1174" spans="2:8">
      <c r="B1174" s="709" t="s">
        <v>1156</v>
      </c>
      <c r="C1174" s="709"/>
      <c r="D1174" s="711"/>
      <c r="E1174" s="711"/>
      <c r="F1174" s="711"/>
      <c r="G1174" s="712"/>
      <c r="H1174" s="712"/>
    </row>
    <row r="1175" spans="2:8" ht="15.75">
      <c r="B1175" s="713" t="s">
        <v>1157</v>
      </c>
      <c r="C1175" s="713" t="s">
        <v>1158</v>
      </c>
      <c r="D1175" s="714"/>
      <c r="E1175" s="714">
        <v>1</v>
      </c>
      <c r="F1175" s="722" t="s">
        <v>983</v>
      </c>
      <c r="G1175" s="707"/>
      <c r="H1175" s="722" t="s">
        <v>984</v>
      </c>
    </row>
    <row r="1176" spans="2:8" ht="15.75">
      <c r="B1176" s="713" t="s">
        <v>1159</v>
      </c>
      <c r="C1176" s="713" t="s">
        <v>1160</v>
      </c>
      <c r="D1176" s="714"/>
      <c r="E1176" s="714">
        <v>8.6999999999999993</v>
      </c>
      <c r="F1176" s="722" t="s">
        <v>983</v>
      </c>
      <c r="G1176" s="707">
        <v>9</v>
      </c>
      <c r="H1176" s="722" t="s">
        <v>984</v>
      </c>
    </row>
    <row r="1177" spans="2:8" ht="15.75">
      <c r="B1177" s="713" t="s">
        <v>1161</v>
      </c>
      <c r="C1177" s="713" t="s">
        <v>1162</v>
      </c>
      <c r="D1177" s="714"/>
      <c r="E1177" s="714">
        <v>13</v>
      </c>
      <c r="F1177" s="722" t="s">
        <v>983</v>
      </c>
      <c r="G1177" s="707">
        <v>12</v>
      </c>
      <c r="H1177" s="722" t="s">
        <v>984</v>
      </c>
    </row>
    <row r="1178" spans="2:8" ht="15.75">
      <c r="B1178" s="713" t="s">
        <v>1163</v>
      </c>
      <c r="C1178" s="713" t="s">
        <v>1164</v>
      </c>
      <c r="D1178" s="714"/>
      <c r="E1178" s="715" t="s">
        <v>1040</v>
      </c>
      <c r="F1178" s="722" t="s">
        <v>983</v>
      </c>
      <c r="G1178" s="707">
        <v>16</v>
      </c>
      <c r="H1178" s="722" t="s">
        <v>984</v>
      </c>
    </row>
    <row r="1179" spans="2:8" ht="15.75">
      <c r="B1179" s="713" t="s">
        <v>1165</v>
      </c>
      <c r="C1179" s="713" t="s">
        <v>1166</v>
      </c>
      <c r="D1179" s="714"/>
      <c r="E1179" s="715" t="s">
        <v>1040</v>
      </c>
      <c r="F1179" s="722" t="s">
        <v>983</v>
      </c>
      <c r="G1179" s="707"/>
      <c r="H1179" s="722" t="s">
        <v>984</v>
      </c>
    </row>
    <row r="1180" spans="2:8" ht="15.75">
      <c r="B1180" s="713" t="s">
        <v>1167</v>
      </c>
      <c r="C1180" s="713" t="s">
        <v>1168</v>
      </c>
      <c r="D1180" s="714"/>
      <c r="E1180" s="715" t="s">
        <v>1040</v>
      </c>
      <c r="F1180" s="722" t="s">
        <v>983</v>
      </c>
      <c r="G1180" s="707"/>
      <c r="H1180" s="722" t="s">
        <v>984</v>
      </c>
    </row>
    <row r="1181" spans="2:8" ht="15.75">
      <c r="B1181" s="713" t="s">
        <v>1169</v>
      </c>
      <c r="C1181" s="713" t="s">
        <v>1170</v>
      </c>
      <c r="D1181" s="714"/>
      <c r="E1181" s="715" t="s">
        <v>1040</v>
      </c>
      <c r="F1181" s="722" t="s">
        <v>983</v>
      </c>
      <c r="G1181" s="707"/>
      <c r="H1181" s="722" t="s">
        <v>984</v>
      </c>
    </row>
    <row r="1182" spans="2:8" ht="15.75">
      <c r="B1182" s="713" t="s">
        <v>1171</v>
      </c>
      <c r="C1182" s="713" t="s">
        <v>1172</v>
      </c>
      <c r="D1182" s="714"/>
      <c r="E1182" s="715" t="s">
        <v>1040</v>
      </c>
      <c r="F1182" s="722" t="s">
        <v>983</v>
      </c>
      <c r="G1182" s="707"/>
      <c r="H1182" s="722" t="s">
        <v>984</v>
      </c>
    </row>
    <row r="1183" spans="2:8" ht="15.75">
      <c r="B1183" s="713" t="s">
        <v>1173</v>
      </c>
      <c r="C1183" s="713" t="s">
        <v>1174</v>
      </c>
      <c r="D1183" s="714"/>
      <c r="E1183" s="715" t="s">
        <v>1040</v>
      </c>
      <c r="F1183" s="722" t="s">
        <v>983</v>
      </c>
      <c r="G1183" s="707"/>
      <c r="H1183" s="722" t="s">
        <v>984</v>
      </c>
    </row>
    <row r="1184" spans="2:8" ht="15.75">
      <c r="B1184" s="713" t="s">
        <v>1175</v>
      </c>
      <c r="C1184" s="713" t="s">
        <v>1176</v>
      </c>
      <c r="D1184" s="714"/>
      <c r="E1184" s="715" t="s">
        <v>1040</v>
      </c>
      <c r="F1184" s="722" t="s">
        <v>983</v>
      </c>
      <c r="G1184" s="707"/>
      <c r="H1184" s="722" t="s">
        <v>984</v>
      </c>
    </row>
    <row r="1185" spans="2:8" ht="15.75">
      <c r="B1185" s="713" t="s">
        <v>1177</v>
      </c>
      <c r="C1185" s="713" t="s">
        <v>1178</v>
      </c>
      <c r="D1185" s="714"/>
      <c r="E1185" s="714">
        <v>17700</v>
      </c>
      <c r="F1185" s="722" t="s">
        <v>983</v>
      </c>
      <c r="G1185" s="707">
        <v>17400</v>
      </c>
      <c r="H1185" s="722" t="s">
        <v>984</v>
      </c>
    </row>
    <row r="1186" spans="2:8">
      <c r="B1186" s="709" t="s">
        <v>1179</v>
      </c>
      <c r="C1186" s="709"/>
      <c r="D1186" s="716"/>
      <c r="E1186" s="711"/>
      <c r="F1186" s="711"/>
      <c r="G1186" s="712"/>
      <c r="H1186" s="712"/>
    </row>
    <row r="1187" spans="2:8" ht="15.75">
      <c r="B1187" s="713" t="s">
        <v>1180</v>
      </c>
      <c r="C1187" s="713" t="s">
        <v>1181</v>
      </c>
      <c r="D1187" s="717"/>
      <c r="E1187" s="714">
        <v>5.5</v>
      </c>
      <c r="F1187" s="722" t="s">
        <v>983</v>
      </c>
      <c r="G1187" s="707"/>
      <c r="H1187" s="722" t="s">
        <v>984</v>
      </c>
    </row>
    <row r="1188" spans="2:8" ht="15.75">
      <c r="B1188" s="713" t="s">
        <v>172</v>
      </c>
      <c r="C1188" s="713" t="s">
        <v>1182</v>
      </c>
      <c r="D1188" s="717"/>
      <c r="E1188" s="714">
        <v>3.3</v>
      </c>
      <c r="F1188" s="722" t="s">
        <v>983</v>
      </c>
      <c r="G1188" s="707"/>
      <c r="H1188" s="722" t="s">
        <v>984</v>
      </c>
    </row>
    <row r="1189" spans="2:8" ht="15.75">
      <c r="B1189" s="713" t="s">
        <v>150</v>
      </c>
      <c r="C1189" s="713" t="s">
        <v>1183</v>
      </c>
      <c r="D1189" s="717"/>
      <c r="E1189" s="714">
        <v>4</v>
      </c>
      <c r="F1189" s="722" t="s">
        <v>983</v>
      </c>
      <c r="G1189" s="707"/>
      <c r="H1189" s="722" t="s">
        <v>984</v>
      </c>
    </row>
    <row r="1190" spans="2:8" ht="15.75">
      <c r="B1190" s="713" t="s">
        <v>157</v>
      </c>
      <c r="C1190" s="713" t="s">
        <v>1184</v>
      </c>
      <c r="D1190" s="717"/>
      <c r="E1190" s="714">
        <v>3.7</v>
      </c>
      <c r="F1190" s="722" t="s">
        <v>983</v>
      </c>
      <c r="G1190" s="707"/>
      <c r="H1190" s="722" t="s">
        <v>984</v>
      </c>
    </row>
    <row r="1191" spans="2:8" ht="15.75">
      <c r="B1191" s="713" t="s">
        <v>173</v>
      </c>
      <c r="C1191" s="713" t="s">
        <v>1185</v>
      </c>
      <c r="D1191" s="717"/>
      <c r="E1191" s="714">
        <v>1.8</v>
      </c>
      <c r="F1191" s="722" t="s">
        <v>983</v>
      </c>
      <c r="G1191" s="707"/>
      <c r="H1191" s="722" t="s">
        <v>984</v>
      </c>
    </row>
    <row r="1192" spans="2:8" ht="15.75">
      <c r="B1192" s="713" t="s">
        <v>1186</v>
      </c>
      <c r="C1192" s="713" t="s">
        <v>1187</v>
      </c>
      <c r="D1192" s="717"/>
      <c r="E1192" s="714">
        <v>2.7</v>
      </c>
      <c r="F1192" s="722" t="s">
        <v>983</v>
      </c>
      <c r="G1192" s="707"/>
      <c r="H1192" s="722" t="s">
        <v>984</v>
      </c>
    </row>
    <row r="1193" spans="2:8" ht="15.75">
      <c r="B1193" s="713" t="s">
        <v>1188</v>
      </c>
      <c r="C1193" s="713" t="s">
        <v>1189</v>
      </c>
      <c r="D1193" s="717"/>
      <c r="E1193" s="714">
        <v>2.7</v>
      </c>
      <c r="F1193" s="722" t="s">
        <v>983</v>
      </c>
      <c r="G1193" s="707"/>
      <c r="H1193" s="722" t="s">
        <v>984</v>
      </c>
    </row>
    <row r="1194" spans="2:8" ht="15.75">
      <c r="B1194" s="713" t="s">
        <v>1190</v>
      </c>
      <c r="C1194" s="713" t="s">
        <v>1191</v>
      </c>
      <c r="D1194" s="717"/>
      <c r="E1194" s="714">
        <v>2.8</v>
      </c>
      <c r="F1194" s="722" t="s">
        <v>983</v>
      </c>
      <c r="G1194" s="707"/>
      <c r="H1194" s="722" t="s">
        <v>984</v>
      </c>
    </row>
    <row r="1195" spans="2:8" ht="15.75">
      <c r="B1195" s="713" t="s">
        <v>1192</v>
      </c>
      <c r="C1195" s="713" t="s">
        <v>1193</v>
      </c>
      <c r="D1195" s="717"/>
      <c r="E1195" s="714">
        <v>1.3</v>
      </c>
      <c r="F1195" s="722" t="s">
        <v>983</v>
      </c>
      <c r="G1195" s="707"/>
      <c r="H1195" s="722" t="s">
        <v>984</v>
      </c>
    </row>
    <row r="1196" spans="2:8" ht="15.75">
      <c r="B1196" s="713" t="s">
        <v>1194</v>
      </c>
      <c r="C1196" s="713" t="s">
        <v>1195</v>
      </c>
      <c r="D1196" s="717"/>
      <c r="E1196" s="714">
        <v>0.5</v>
      </c>
      <c r="F1196" s="722" t="s">
        <v>983</v>
      </c>
      <c r="G1196" s="707"/>
      <c r="H1196" s="722" t="s">
        <v>984</v>
      </c>
    </row>
    <row r="1197" spans="2:8">
      <c r="B1197" s="207" t="s">
        <v>1196</v>
      </c>
      <c r="E1197" s="707"/>
      <c r="F1197" s="707"/>
      <c r="G1197" s="707"/>
      <c r="H1197" s="707"/>
    </row>
    <row r="1198" spans="2:8">
      <c r="B1198" s="718" t="s">
        <v>1197</v>
      </c>
      <c r="C1198" s="718"/>
      <c r="D1198" s="718"/>
      <c r="E1198" s="719"/>
      <c r="F1198" s="719"/>
      <c r="G1198" s="719"/>
      <c r="H1198" s="719"/>
    </row>
    <row r="1199" spans="2:8">
      <c r="B1199" s="708" t="s">
        <v>1198</v>
      </c>
      <c r="C1199" s="708"/>
      <c r="D1199" s="708"/>
      <c r="E1199" s="720"/>
      <c r="F1199" s="720"/>
      <c r="G1199" s="720"/>
      <c r="H1199" s="720"/>
    </row>
    <row r="1200" spans="2:8">
      <c r="B1200" t="s">
        <v>1199</v>
      </c>
      <c r="E1200" s="707"/>
      <c r="F1200" s="707"/>
      <c r="G1200" s="707"/>
      <c r="H1200" s="707"/>
    </row>
    <row r="1201" spans="2:8">
      <c r="B1201" s="721"/>
      <c r="C1201" s="721"/>
      <c r="D1201" s="721"/>
      <c r="E1201" s="707"/>
      <c r="F1201" s="707"/>
      <c r="G1201" s="707"/>
      <c r="H1201" s="707"/>
    </row>
    <row r="1202" spans="2:8">
      <c r="B1202" s="207" t="s">
        <v>1200</v>
      </c>
      <c r="E1202" s="707"/>
      <c r="F1202" s="707"/>
      <c r="G1202" s="707"/>
      <c r="H1202" s="707"/>
    </row>
    <row r="1203" spans="2:8">
      <c r="B1203" s="722" t="s">
        <v>983</v>
      </c>
      <c r="C1203" s="723"/>
      <c r="D1203" s="723"/>
      <c r="E1203" s="724"/>
      <c r="F1203" s="724"/>
      <c r="G1203" s="724"/>
      <c r="H1203" s="724"/>
    </row>
    <row r="1204" spans="2:8">
      <c r="B1204" s="722" t="s">
        <v>984</v>
      </c>
      <c r="C1204" s="723"/>
      <c r="D1204" s="723"/>
      <c r="E1204" s="724"/>
      <c r="F1204" s="724"/>
      <c r="G1204" s="724"/>
      <c r="H1204" s="724"/>
    </row>
    <row r="1205" spans="2:8">
      <c r="B1205" s="722" t="s">
        <v>1201</v>
      </c>
      <c r="C1205" s="723"/>
      <c r="D1205" s="723"/>
      <c r="E1205" s="724"/>
      <c r="F1205" s="724"/>
      <c r="G1205" s="724"/>
      <c r="H1205" s="724"/>
    </row>
    <row r="1206" spans="2:8">
      <c r="B1206" s="708" t="s">
        <v>1202</v>
      </c>
      <c r="C1206" s="723"/>
      <c r="D1206" s="723"/>
      <c r="E1206" s="724"/>
      <c r="F1206" s="724"/>
      <c r="G1206" s="724"/>
      <c r="H1206" s="724"/>
    </row>
    <row r="1207" spans="2:8">
      <c r="B1207" s="722"/>
      <c r="C1207" s="723"/>
      <c r="D1207" s="723"/>
      <c r="E1207" s="724"/>
      <c r="F1207" s="724"/>
      <c r="G1207" s="724"/>
      <c r="H1207" s="724"/>
    </row>
    <row r="1208" spans="2:8">
      <c r="B1208" s="708"/>
      <c r="C1208" s="725"/>
      <c r="D1208" s="726"/>
      <c r="E1208" s="727"/>
      <c r="F1208" s="727"/>
      <c r="G1208" s="727"/>
      <c r="H1208" s="727"/>
    </row>
  </sheetData>
  <mergeCells count="56">
    <mergeCell ref="C354:C356"/>
    <mergeCell ref="E358:H358"/>
    <mergeCell ref="AC343:AF343"/>
    <mergeCell ref="E343:H343"/>
    <mergeCell ref="C351:C353"/>
    <mergeCell ref="E349:H349"/>
    <mergeCell ref="C345:C347"/>
    <mergeCell ref="Y343:AB343"/>
    <mergeCell ref="I343:L343"/>
    <mergeCell ref="M343:P343"/>
    <mergeCell ref="Q343:T343"/>
    <mergeCell ref="U343:X343"/>
    <mergeCell ref="G886:M886"/>
    <mergeCell ref="G887:M887"/>
    <mergeCell ref="G894:M894"/>
    <mergeCell ref="G895:M895"/>
    <mergeCell ref="C912:L912"/>
    <mergeCell ref="E916:H916"/>
    <mergeCell ref="E917:H917"/>
    <mergeCell ref="E918:H918"/>
    <mergeCell ref="E919:H919"/>
    <mergeCell ref="E920:H920"/>
    <mergeCell ref="E921:H921"/>
    <mergeCell ref="E922:H922"/>
    <mergeCell ref="E923:H923"/>
    <mergeCell ref="E924:H924"/>
    <mergeCell ref="E925:H925"/>
    <mergeCell ref="E926:H926"/>
    <mergeCell ref="E927:H927"/>
    <mergeCell ref="E928:H928"/>
    <mergeCell ref="E929:H929"/>
    <mergeCell ref="E930:H930"/>
    <mergeCell ref="E931:H931"/>
    <mergeCell ref="E932:H932"/>
    <mergeCell ref="E933:H933"/>
    <mergeCell ref="E934:H934"/>
    <mergeCell ref="E935:H935"/>
    <mergeCell ref="E936:H936"/>
    <mergeCell ref="E937:H937"/>
    <mergeCell ref="E938:H938"/>
    <mergeCell ref="E939:H939"/>
    <mergeCell ref="E940:H940"/>
    <mergeCell ref="E941:H941"/>
    <mergeCell ref="E942:H942"/>
    <mergeCell ref="E943:H943"/>
    <mergeCell ref="E944:H944"/>
    <mergeCell ref="E945:H945"/>
    <mergeCell ref="E951:H951"/>
    <mergeCell ref="E952:H952"/>
    <mergeCell ref="C953:K953"/>
    <mergeCell ref="F954:N954"/>
    <mergeCell ref="E946:H946"/>
    <mergeCell ref="E947:H947"/>
    <mergeCell ref="E948:H948"/>
    <mergeCell ref="E949:H949"/>
    <mergeCell ref="E950:H950"/>
  </mergeCells>
  <phoneticPr fontId="35" type="noConversion"/>
  <hyperlinks>
    <hyperlink ref="T530" r:id="rId1" xr:uid="{D27DCBE3-20D7-4096-BA53-1CD0E2702799}"/>
    <hyperlink ref="T572" r:id="rId2" display="Canada NIR 2018 - https://unfccc.int/documents/65715" xr:uid="{39E6C095-23B1-420F-8738-1BC3841F77CF}"/>
    <hyperlink ref="T573:T622" r:id="rId3" display="Canada NIR 2018 - https://unfccc.int/documents/65715" xr:uid="{F96FD706-0DC9-4AC4-A24F-FAF16489A0D8}"/>
    <hyperlink ref="K634" r:id="rId4" display="https://www.epa.gov/sites/production/files/2020-01/egrid2018_summary_tables.xlsx" xr:uid="{8D4D5EF1-F119-4242-9DE5-A3B0DC83012D}"/>
    <hyperlink ref="K661" r:id="rId5" display="Canada NIR 2018 - https://unfccc.int/documents/65715" xr:uid="{245EFFC7-668A-47E8-87F0-69BC4001F64B}"/>
    <hyperlink ref="K662" r:id="rId6" display="Canada NIR 2018 - https://unfccc.int/documents/65715" xr:uid="{EB209BB3-58AA-4521-9F90-E77E723AD036}"/>
    <hyperlink ref="K663" r:id="rId7" display="Canada NIR 2018 - https://unfccc.int/documents/65715" xr:uid="{57EFF07D-23E3-448C-9EA8-F7360C6BFE0E}"/>
    <hyperlink ref="K664" r:id="rId8" display="Canada NIR 2018 - https://unfccc.int/documents/65715" xr:uid="{2AC3596E-B760-4124-979B-BA9D82449AB1}"/>
    <hyperlink ref="K665" r:id="rId9" display="Canada NIR 2018 - https://unfccc.int/documents/65715" xr:uid="{5E5C49A5-1198-4347-A95B-336CFF965ACC}"/>
    <hyperlink ref="K666" r:id="rId10" display="Canada NIR 2018 - https://unfccc.int/documents/65715" xr:uid="{BBB4770E-40F1-4699-9EB3-979569782A71}"/>
    <hyperlink ref="K667" r:id="rId11" display="Canada NIR 2018 - https://unfccc.int/documents/65715" xr:uid="{BF0E7A3E-0CC9-48D4-9703-38A8AB82483F}"/>
    <hyperlink ref="K668" r:id="rId12" display="Canada NIR 2018 - https://unfccc.int/documents/65715" xr:uid="{34E8320D-7E86-4809-8536-6DBFEB544B16}"/>
    <hyperlink ref="K669" r:id="rId13" display="Canada NIR 2018 - https://unfccc.int/documents/65715" xr:uid="{40F7053F-2ABD-4438-81F3-C4EF2308D312}"/>
    <hyperlink ref="K670" r:id="rId14" display="Canada NIR 2018 - https://unfccc.int/documents/65715" xr:uid="{D9D84D2B-02CB-49B6-AA41-DB48C824F2F8}"/>
    <hyperlink ref="K671" r:id="rId15" display="Canada NIR 2018 - https://unfccc.int/documents/65715" xr:uid="{AB107D65-65E1-46C9-8715-E49FE64DD733}"/>
    <hyperlink ref="K672" r:id="rId16" display="Canada NIR 2018 - https://unfccc.int/documents/65715" xr:uid="{0EFF0772-09C0-40E8-B41B-A0385A809CC3}"/>
    <hyperlink ref="K673" r:id="rId17" display="Canada NIR 2018 - https://unfccc.int/documents/65715" xr:uid="{F5721B07-F976-4B92-BA1C-4A13F1822147}"/>
    <hyperlink ref="K635:K660" r:id="rId18" display="https://www.epa.gov/sites/production/files/2020-01/egrid2018_summary_tables.xlsx" xr:uid="{C55B3411-DE7F-42A8-8769-75E3E07D7EF2}"/>
  </hyperlinks>
  <pageMargins left="0.7" right="0.7" top="0.75" bottom="0.75" header="0.3" footer="0.3"/>
  <pageSetup orientation="portrait" r:id="rId19"/>
  <drawing r:id="rId20"/>
  <tableParts count="10">
    <tablePart r:id="rId21"/>
    <tablePart r:id="rId22"/>
    <tablePart r:id="rId23"/>
    <tablePart r:id="rId24"/>
    <tablePart r:id="rId25"/>
    <tablePart r:id="rId26"/>
    <tablePart r:id="rId27"/>
    <tablePart r:id="rId28"/>
    <tablePart r:id="rId29"/>
    <tablePart r:id="rId30"/>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22089-1A9E-4AB4-8074-6B85844B1CBC}">
  <sheetPr codeName="Sheet4">
    <tabColor rgb="FFFFC000"/>
  </sheetPr>
  <dimension ref="B1:P76"/>
  <sheetViews>
    <sheetView showGridLines="0" showRowColHeaders="0" topLeftCell="C17" zoomScale="145" zoomScaleNormal="145" workbookViewId="0">
      <selection activeCell="F25" sqref="F25"/>
    </sheetView>
  </sheetViews>
  <sheetFormatPr baseColWidth="10" defaultColWidth="9.140625" defaultRowHeight="15"/>
  <cols>
    <col min="3" max="4" width="13.28515625" customWidth="1"/>
    <col min="5" max="5" width="30.5703125" customWidth="1"/>
    <col min="6" max="6" width="31.28515625" customWidth="1"/>
    <col min="7" max="7" width="17.28515625" style="214" customWidth="1"/>
    <col min="8" max="8" width="20.7109375" customWidth="1"/>
    <col min="9" max="9" width="12.28515625" customWidth="1"/>
    <col min="10" max="10" width="12.140625" customWidth="1"/>
    <col min="11" max="11" width="12" customWidth="1"/>
    <col min="12" max="12" width="15.140625" customWidth="1"/>
    <col min="13" max="13" width="20.28515625" customWidth="1"/>
    <col min="14" max="14" width="24.85546875" customWidth="1"/>
    <col min="15" max="15" width="92.28515625" customWidth="1"/>
  </cols>
  <sheetData>
    <row r="1" spans="2:16" s="363" customFormat="1"/>
    <row r="2" spans="2:16" s="363" customFormat="1"/>
    <row r="3" spans="2:16" s="363" customFormat="1"/>
    <row r="4" spans="2:16" s="363" customFormat="1"/>
    <row r="5" spans="2:16" s="363" customFormat="1"/>
    <row r="6" spans="2:16" s="363" customFormat="1"/>
    <row r="7" spans="2:16" s="363" customFormat="1"/>
    <row r="8" spans="2:16" s="325" customFormat="1" ht="26.25">
      <c r="B8" s="488" t="s">
        <v>17</v>
      </c>
    </row>
    <row r="9" spans="2:16" s="373" customFormat="1" ht="20.25" customHeight="1" thickBot="1">
      <c r="B9" s="372"/>
    </row>
    <row r="10" spans="2:16" s="373" customFormat="1" ht="20.25" customHeight="1">
      <c r="B10" s="372"/>
      <c r="C10" s="430"/>
      <c r="D10" s="431"/>
      <c r="E10" s="431"/>
      <c r="F10" s="431"/>
      <c r="G10" s="431"/>
      <c r="H10" s="431"/>
      <c r="I10" s="431"/>
      <c r="J10" s="431"/>
      <c r="K10" s="431"/>
      <c r="L10" s="432"/>
    </row>
    <row r="11" spans="2:16" ht="6" customHeight="1">
      <c r="C11" s="919" t="s">
        <v>1203</v>
      </c>
      <c r="D11" s="920"/>
      <c r="E11" s="920"/>
      <c r="F11" s="920"/>
      <c r="G11" s="920"/>
      <c r="H11" s="920"/>
      <c r="I11" s="920"/>
      <c r="J11" s="920"/>
      <c r="K11" s="920"/>
      <c r="L11" s="921"/>
      <c r="M11" s="360"/>
      <c r="N11" s="360"/>
      <c r="O11" s="360"/>
      <c r="P11" s="360"/>
    </row>
    <row r="12" spans="2:16" ht="31.5" customHeight="1">
      <c r="C12" s="919"/>
      <c r="D12" s="920"/>
      <c r="E12" s="920"/>
      <c r="F12" s="920"/>
      <c r="G12" s="920"/>
      <c r="H12" s="920"/>
      <c r="I12" s="920"/>
      <c r="J12" s="920"/>
      <c r="K12" s="920"/>
      <c r="L12" s="921"/>
      <c r="M12" s="360"/>
      <c r="N12" s="360"/>
    </row>
    <row r="13" spans="2:16" ht="18.75">
      <c r="C13" s="834"/>
      <c r="D13" s="374"/>
      <c r="E13" s="374"/>
      <c r="F13" s="374"/>
      <c r="G13" s="374"/>
      <c r="H13" s="374"/>
      <c r="I13" s="374"/>
      <c r="J13" s="374"/>
      <c r="K13" s="374"/>
      <c r="L13" s="835"/>
      <c r="M13" s="360"/>
      <c r="N13" s="360"/>
    </row>
    <row r="14" spans="2:16" ht="80.650000000000006" customHeight="1">
      <c r="C14" s="919" t="s">
        <v>1204</v>
      </c>
      <c r="D14" s="920"/>
      <c r="E14" s="920"/>
      <c r="F14" s="920"/>
      <c r="G14" s="920"/>
      <c r="H14" s="920"/>
      <c r="I14" s="375"/>
      <c r="J14" s="375"/>
      <c r="K14" s="375"/>
      <c r="L14" s="427"/>
    </row>
    <row r="15" spans="2:16" ht="18.75">
      <c r="C15" s="834"/>
      <c r="D15" s="374"/>
      <c r="E15" s="374"/>
      <c r="F15" s="374"/>
      <c r="G15" s="374"/>
      <c r="H15" s="374"/>
      <c r="I15" s="375"/>
      <c r="J15" s="375"/>
      <c r="K15" s="375"/>
      <c r="L15" s="427"/>
    </row>
    <row r="16" spans="2:16" ht="20.25">
      <c r="C16" s="426" t="s">
        <v>1205</v>
      </c>
      <c r="D16" s="248"/>
      <c r="E16" s="248"/>
      <c r="F16" s="248"/>
      <c r="G16" s="375"/>
      <c r="H16" s="375"/>
      <c r="I16" s="375"/>
      <c r="J16" s="375"/>
      <c r="K16" s="375"/>
      <c r="L16" s="427"/>
    </row>
    <row r="17" spans="3:15" ht="15.75" thickBot="1">
      <c r="C17" s="685"/>
      <c r="D17" s="433"/>
      <c r="E17" s="433"/>
      <c r="F17" s="635"/>
      <c r="G17" s="433"/>
      <c r="H17" s="433"/>
      <c r="I17" s="635"/>
      <c r="J17" s="635"/>
      <c r="K17" s="635"/>
      <c r="L17" s="434"/>
    </row>
    <row r="18" spans="3:15">
      <c r="G18"/>
    </row>
    <row r="20" spans="3:15" ht="25.9" customHeight="1">
      <c r="C20" s="922" t="s">
        <v>1206</v>
      </c>
      <c r="D20" s="922"/>
      <c r="E20" s="922"/>
      <c r="F20" s="923"/>
      <c r="G20" s="923"/>
      <c r="H20" s="923"/>
      <c r="I20" s="916" t="s">
        <v>1207</v>
      </c>
      <c r="J20" s="917"/>
      <c r="K20" s="917"/>
      <c r="L20" s="917"/>
      <c r="M20" s="918"/>
      <c r="N20" s="922" t="s">
        <v>1208</v>
      </c>
      <c r="O20" s="922"/>
    </row>
    <row r="21" spans="3:15" ht="36" customHeight="1">
      <c r="C21" s="686" t="s">
        <v>63</v>
      </c>
      <c r="D21" s="642" t="s">
        <v>206</v>
      </c>
      <c r="E21" s="642" t="s">
        <v>1209</v>
      </c>
      <c r="F21" s="642" t="s">
        <v>1210</v>
      </c>
      <c r="G21" s="642" t="s">
        <v>1211</v>
      </c>
      <c r="H21" s="642" t="s">
        <v>1212</v>
      </c>
      <c r="I21" s="642" t="s">
        <v>1213</v>
      </c>
      <c r="J21" s="642" t="s">
        <v>1214</v>
      </c>
      <c r="K21" s="642" t="s">
        <v>1215</v>
      </c>
      <c r="L21" s="687" t="s">
        <v>1216</v>
      </c>
      <c r="M21" s="687" t="s">
        <v>1217</v>
      </c>
      <c r="N21" s="642" t="s">
        <v>1218</v>
      </c>
      <c r="O21" s="644" t="s">
        <v>112</v>
      </c>
    </row>
    <row r="22" spans="3:15" ht="15.75">
      <c r="C22" s="688">
        <v>1</v>
      </c>
      <c r="D22" s="689"/>
      <c r="E22" s="689" t="s">
        <v>49</v>
      </c>
      <c r="F22" s="689" t="s">
        <v>1885</v>
      </c>
      <c r="G22" s="690">
        <v>5</v>
      </c>
      <c r="H22" s="689" t="s">
        <v>1237</v>
      </c>
      <c r="I22" s="386">
        <f>IF(Stationary_Combustion[[#This Row],[Custom Emission Factors?]]="No", _xlfn.IFNA((VLOOKUP(Stationary_Combustion[[#This Row],[Fuel]], EF_Stationary_Combustion[], 3, FALSE)/IF(VLOOKUP(Stationary_Combustion[[#This Row],[Fuel]], EF_Stationary_Combustion[], 9,FALSE) ='S1-Stationary Combustion'!H22, 1, VLOOKUP(VLOOKUP(Stationary_Combustion[[#This Row],[Fuel]], EF_Stationary_Combustion[], 9,FALSE)&amp;"_to_"&amp;'S1-Stationary Combustion'!H22,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Combustion'!H22, 1, VLOOKUP(VLOOKUP(Stationary_Combustion[[#This Row],[Fuel]], Custom_EF[], 11,FALSE)&amp;"_to_"&amp;'S1-Stationary Combustion'!H22, Conversions!$B$52:$F$162, Conversions!$E$52, FALSE))*Stationary_Combustion[[#This Row],[Amount of fuel]]/1000), ""))</f>
        <v>1.3650000000000001E-2</v>
      </c>
      <c r="J22" s="387">
        <f>IF(Stationary_Combustion[[#This Row],[Custom Emission Factors?]]="No", _xlfn.IFNA((VLOOKUP(Stationary_Combustion[[#This Row],[Fuel]], EF_Stationary_Combustion[], 4, FALSE)/IF(VLOOKUP(Stationary_Combustion[[#This Row],[Fuel]], EF_Stationary_Combustion[], 9,FALSE) ='S1-Stationary Combustion'!H22, 1, VLOOKUP(VLOOKUP(Stationary_Combustion[[#This Row],[Fuel]], EF_Stationary_Combustion[], 9,FALSE)&amp;"_to_"&amp;'S1-Stationary Combustion'!H22,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Combustion'!H22, 1, VLOOKUP(VLOOKUP(Stationary_Combustion[[#This Row],[Fuel]], Custom_EF[], 11,FALSE)&amp;"_to_"&amp;'S1-Stationary Combustion'!H22, Conversions!$B$52:$F$162, Conversions!$E$52, FALSE))*Stationary_Combustion[[#This Row],[Amount of fuel]]/1000), ""))</f>
        <v>0</v>
      </c>
      <c r="K22" s="387">
        <f>IF(Stationary_Combustion[[#This Row],[Custom Emission Factors?]]="No", _xlfn.IFNA((VLOOKUP(Stationary_Combustion[[#This Row],[Fuel]], EF_Stationary_Combustion[], 5, FALSE)/IF(VLOOKUP(Stationary_Combustion[[#This Row],[Fuel]], EF_Stationary_Combustion[], 9,FALSE) ='S1-Stationary Combustion'!H22, 1, VLOOKUP(VLOOKUP(Stationary_Combustion[[#This Row],[Fuel]], EF_Stationary_Combustion[], 9,FALSE)&amp;"_to_"&amp;'S1-Stationary Combustion'!H22,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Combustion'!H22, 1, VLOOKUP(VLOOKUP(Stationary_Combustion[[#This Row],[Fuel]], Custom_EF[], 11,FALSE)&amp;"_to_"&amp;'S1-Stationary Combustion'!H22, Conversions!$B$52:$F$162, Conversions!$E$52, FALSE))*Stationary_Combustion[[#This Row],[Amount of fuel]]/1000), ""))</f>
        <v>0</v>
      </c>
      <c r="L22" s="386">
        <f>IFERROR(IF(Parameters!$D$19="2014 IPCC Fifth Assessment", (I22*Data!$AJ$5)+(J22*Data!$AJ$6)+(K22*Data!$AJ$7), (I22*Data!$AI$5)+(J22*Data!$AI$6)+(K22*Data!$AI$7)), "")</f>
        <v>1.3650000000000001E-2</v>
      </c>
      <c r="M22" s="386" t="str">
        <f>IF(Stationary_Combustion[[#This Row],[Custom Emission Factors?]]="No", _xlfn.IFNA((VLOOKUP(Stationary_Combustion[[#This Row],[Fuel]], EF_Stationary_Combustion[], 6, FALSE)/IF(VLOOKUP(Stationary_Combustion[[#This Row],[Fuel]], EF_Stationary_Combustion[], 9,FALSE) ='S1-Stationary Combustion'!H22, 1, VLOOKUP(VLOOKUP(Stationary_Combustion[[#This Row],[Fuel]], EF_Stationary_Combustion[], 9,FALSE)&amp;"_to_"&amp;'S1-Stationary Combustion'!H22,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Combustion'!H22, 1, VLOOKUP(VLOOKUP(Stationary_Combustion[[#This Row],[Fuel]], Custom_EF[], 10,FALSE)&amp;"_to_"&amp;'S1-Stationary Combustion'!H22, Conversions!$B$52:$F$162, Conversions!$E$52, FALSE))*Stationary_Combustion[[#This Row],[Amount of fuel]]/1000), ""))</f>
        <v/>
      </c>
      <c r="N22" s="388">
        <f>IF(Stationary_Combustion[[#This Row],[Custom Emission Factors?]]="No", _xlfn.IFNA(VLOOKUP(F22, EF_Stationary_Combustion[], IF(Parameters!$D$19="2014 IPCC Fifth Assessment", 'Emission Factors'!$I$9, 'Emission Factors'!$H$9), FALSE), ""), _xlfn.IFNA(VLOOKUP(Stationary_Combustion[[#This Row],[Fuel]], Custom_EF[], 9, FALSE), ""))</f>
        <v>2.73</v>
      </c>
      <c r="O22" s="378" t="str">
        <f>IF(Stationary_Combustion[[#This Row],[EF (kgCO2e/unit)]]="", "", IF(Stationary_Combustion[[#This Row],[Custom Emission Factors?]]="Yes", VLOOKUP(Stationary_Combustion[[#This Row],[Fuel]], Custom_EF[], 4, FALSE), VLOOKUP(Stationary_Combustion[[#This Row],[Fuel]], EF_Stationary_Combustion[#All], 10, FALSE)))</f>
        <v>cinta transportadora (estacionaria)</v>
      </c>
    </row>
    <row r="23" spans="3:15" ht="15.75">
      <c r="C23" s="688"/>
      <c r="D23" s="689"/>
      <c r="E23" s="689"/>
      <c r="F23" s="689"/>
      <c r="G23" s="690"/>
      <c r="H23" s="689"/>
      <c r="I23" s="386" t="str">
        <f>IF(Stationary_Combustion[[#This Row],[Custom Emission Factors?]]="No", _xlfn.IFNA((VLOOKUP(Stationary_Combustion[[#This Row],[Fuel]], EF_Stationary_Combustion[], 3, FALSE)/IF(VLOOKUP(Stationary_Combustion[[#This Row],[Fuel]], EF_Stationary_Combustion[], 9,FALSE) ='S1-Stationary Combustion'!H23, 1, VLOOKUP(VLOOKUP(Stationary_Combustion[[#This Row],[Fuel]], EF_Stationary_Combustion[], 9,FALSE)&amp;"_to_"&amp;'S1-Stationary Combustion'!H23,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Combustion'!H23, 1, VLOOKUP(VLOOKUP(Stationary_Combustion[[#This Row],[Fuel]], Custom_EF[], 11,FALSE)&amp;"_to_"&amp;'S1-Stationary Combustion'!H23, Conversions!$B$52:$F$162, Conversions!$E$52, FALSE))*Stationary_Combustion[[#This Row],[Amount of fuel]]/1000), ""))</f>
        <v/>
      </c>
      <c r="J23" s="387" t="str">
        <f>IF(Stationary_Combustion[[#This Row],[Custom Emission Factors?]]="No", _xlfn.IFNA((VLOOKUP(Stationary_Combustion[[#This Row],[Fuel]], EF_Stationary_Combustion[], 4, FALSE)/IF(VLOOKUP(Stationary_Combustion[[#This Row],[Fuel]], EF_Stationary_Combustion[], 9,FALSE) ='S1-Stationary Combustion'!H23, 1, VLOOKUP(VLOOKUP(Stationary_Combustion[[#This Row],[Fuel]], EF_Stationary_Combustion[], 9,FALSE)&amp;"_to_"&amp;'S1-Stationary Combustion'!H23,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Combustion'!H23, 1, VLOOKUP(VLOOKUP(Stationary_Combustion[[#This Row],[Fuel]], Custom_EF[], 11,FALSE)&amp;"_to_"&amp;'S1-Stationary Combustion'!H23, Conversions!$B$52:$F$162, Conversions!$E$52, FALSE))*Stationary_Combustion[[#This Row],[Amount of fuel]]/1000), ""))</f>
        <v/>
      </c>
      <c r="K23" s="387" t="str">
        <f>IF(Stationary_Combustion[[#This Row],[Custom Emission Factors?]]="No", _xlfn.IFNA((VLOOKUP(Stationary_Combustion[[#This Row],[Fuel]], EF_Stationary_Combustion[], 5, FALSE)/IF(VLOOKUP(Stationary_Combustion[[#This Row],[Fuel]], EF_Stationary_Combustion[], 9,FALSE) ='S1-Stationary Combustion'!H23, 1, VLOOKUP(VLOOKUP(Stationary_Combustion[[#This Row],[Fuel]], EF_Stationary_Combustion[], 9,FALSE)&amp;"_to_"&amp;'S1-Stationary Combustion'!H23,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Combustion'!H23, 1, VLOOKUP(VLOOKUP(Stationary_Combustion[[#This Row],[Fuel]], Custom_EF[], 11,FALSE)&amp;"_to_"&amp;'S1-Stationary Combustion'!H23, Conversions!$B$52:$F$162, Conversions!$E$52, FALSE))*Stationary_Combustion[[#This Row],[Amount of fuel]]/1000), ""))</f>
        <v/>
      </c>
      <c r="L23" s="386" t="str">
        <f>IFERROR(IF(Parameters!$D$19="2014 IPCC Fifth Assessment", (I23*Data!$AJ$5)+(J23*Data!$AJ$6)+(K23*Data!$AJ$7), (I23*Data!$AI$5)+(J23*Data!$AI$6)+(K23*Data!$AI$7)), "")</f>
        <v/>
      </c>
      <c r="M23" s="386" t="str">
        <f>IF(Stationary_Combustion[[#This Row],[Custom Emission Factors?]]="No", _xlfn.IFNA((VLOOKUP(Stationary_Combustion[[#This Row],[Fuel]], EF_Stationary_Combustion[], 6, FALSE)/IF(VLOOKUP(Stationary_Combustion[[#This Row],[Fuel]], EF_Stationary_Combustion[], 9,FALSE) ='S1-Stationary Combustion'!H23, 1, VLOOKUP(VLOOKUP(Stationary_Combustion[[#This Row],[Fuel]], EF_Stationary_Combustion[], 9,FALSE)&amp;"_to_"&amp;'S1-Stationary Combustion'!H23,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Combustion'!H23, 1, VLOOKUP(VLOOKUP(Stationary_Combustion[[#This Row],[Fuel]], Custom_EF[], 10,FALSE)&amp;"_to_"&amp;'S1-Stationary Combustion'!H23, Conversions!$B$52:$F$162, Conversions!$E$52, FALSE))*Stationary_Combustion[[#This Row],[Amount of fuel]]/1000), ""))</f>
        <v/>
      </c>
      <c r="N23" s="388" t="str">
        <f>IF(Stationary_Combustion[[#This Row],[Custom Emission Factors?]]="No", _xlfn.IFNA(VLOOKUP(F23, EF_Stationary_Combustion[], IF(Parameters!$D$19="2014 IPCC Fifth Assessment", 'Emission Factors'!$I$9, 'Emission Factors'!$H$9), FALSE), ""), _xlfn.IFNA(VLOOKUP(Stationary_Combustion[[#This Row],[Fuel]], Custom_EF[], 9, FALSE), ""))</f>
        <v/>
      </c>
      <c r="O23" s="378" t="str">
        <f>IF(Stationary_Combustion[[#This Row],[EF (kgCO2e/unit)]]="", "", IF(Stationary_Combustion[[#This Row],[Custom Emission Factors?]]="Yes", VLOOKUP(Stationary_Combustion[[#This Row],[Fuel]], Custom_EF[], 4, FALSE), VLOOKUP(Stationary_Combustion[[#This Row],[Fuel]], EF_Stationary_Combustion[#All], 10, FALSE)))</f>
        <v/>
      </c>
    </row>
    <row r="24" spans="3:15" ht="15.75">
      <c r="C24" s="688"/>
      <c r="D24" s="689"/>
      <c r="E24" s="689"/>
      <c r="F24" s="689"/>
      <c r="G24" s="690"/>
      <c r="H24" s="689"/>
      <c r="I24" s="386" t="str">
        <f>IF(Stationary_Combustion[[#This Row],[Custom Emission Factors?]]="No", _xlfn.IFNA((VLOOKUP(Stationary_Combustion[[#This Row],[Fuel]], EF_Stationary_Combustion[], 3, FALSE)/IF(VLOOKUP(Stationary_Combustion[[#This Row],[Fuel]], EF_Stationary_Combustion[], 9,FALSE) ='S1-Stationary Combustion'!H24, 1, VLOOKUP(VLOOKUP(Stationary_Combustion[[#This Row],[Fuel]], EF_Stationary_Combustion[], 9,FALSE)&amp;"_to_"&amp;'S1-Stationary Combustion'!H24,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Combustion'!H24, 1, VLOOKUP(VLOOKUP(Stationary_Combustion[[#This Row],[Fuel]], Custom_EF[], 11,FALSE)&amp;"_to_"&amp;'S1-Stationary Combustion'!H24, Conversions!$B$52:$F$162, Conversions!$E$52, FALSE))*Stationary_Combustion[[#This Row],[Amount of fuel]]/1000), ""))</f>
        <v/>
      </c>
      <c r="J24" s="387" t="str">
        <f>IF(Stationary_Combustion[[#This Row],[Custom Emission Factors?]]="No", _xlfn.IFNA((VLOOKUP(Stationary_Combustion[[#This Row],[Fuel]], EF_Stationary_Combustion[], 4, FALSE)/IF(VLOOKUP(Stationary_Combustion[[#This Row],[Fuel]], EF_Stationary_Combustion[], 9,FALSE) ='S1-Stationary Combustion'!H24, 1, VLOOKUP(VLOOKUP(Stationary_Combustion[[#This Row],[Fuel]], EF_Stationary_Combustion[], 9,FALSE)&amp;"_to_"&amp;'S1-Stationary Combustion'!H24,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Combustion'!H24, 1, VLOOKUP(VLOOKUP(Stationary_Combustion[[#This Row],[Fuel]], Custom_EF[], 11,FALSE)&amp;"_to_"&amp;'S1-Stationary Combustion'!H24, Conversions!$B$52:$F$162, Conversions!$E$52, FALSE))*Stationary_Combustion[[#This Row],[Amount of fuel]]/1000), ""))</f>
        <v/>
      </c>
      <c r="K24" s="387" t="str">
        <f>IF(Stationary_Combustion[[#This Row],[Custom Emission Factors?]]="No", _xlfn.IFNA((VLOOKUP(Stationary_Combustion[[#This Row],[Fuel]], EF_Stationary_Combustion[], 5, FALSE)/IF(VLOOKUP(Stationary_Combustion[[#This Row],[Fuel]], EF_Stationary_Combustion[], 9,FALSE) ='S1-Stationary Combustion'!H24, 1, VLOOKUP(VLOOKUP(Stationary_Combustion[[#This Row],[Fuel]], EF_Stationary_Combustion[], 9,FALSE)&amp;"_to_"&amp;'S1-Stationary Combustion'!H24,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Combustion'!H24, 1, VLOOKUP(VLOOKUP(Stationary_Combustion[[#This Row],[Fuel]], Custom_EF[], 11,FALSE)&amp;"_to_"&amp;'S1-Stationary Combustion'!H24, Conversions!$B$52:$F$162, Conversions!$E$52, FALSE))*Stationary_Combustion[[#This Row],[Amount of fuel]]/1000), ""))</f>
        <v/>
      </c>
      <c r="L24" s="386" t="str">
        <f>IFERROR(IF(Parameters!$D$19="2014 IPCC Fifth Assessment", (I24*Data!$AJ$5)+(J24*Data!$AJ$6)+(K24*Data!$AJ$7), (I24*Data!$AI$5)+(J24*Data!$AI$6)+(K24*Data!$AI$7)), "")</f>
        <v/>
      </c>
      <c r="M24" s="386" t="str">
        <f>IF(Stationary_Combustion[[#This Row],[Custom Emission Factors?]]="No", _xlfn.IFNA((VLOOKUP(Stationary_Combustion[[#This Row],[Fuel]], EF_Stationary_Combustion[], 6, FALSE)/IF(VLOOKUP(Stationary_Combustion[[#This Row],[Fuel]], EF_Stationary_Combustion[], 9,FALSE) ='S1-Stationary Combustion'!H24, 1, VLOOKUP(VLOOKUP(Stationary_Combustion[[#This Row],[Fuel]], EF_Stationary_Combustion[], 9,FALSE)&amp;"_to_"&amp;'S1-Stationary Combustion'!H24,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Combustion'!H24, 1, VLOOKUP(VLOOKUP(Stationary_Combustion[[#This Row],[Fuel]], Custom_EF[], 10,FALSE)&amp;"_to_"&amp;'S1-Stationary Combustion'!H24, Conversions!$B$52:$F$162, Conversions!$E$52, FALSE))*Stationary_Combustion[[#This Row],[Amount of fuel]]/1000), ""))</f>
        <v/>
      </c>
      <c r="N24" s="388" t="str">
        <f>IF(Stationary_Combustion[[#This Row],[Custom Emission Factors?]]="No", _xlfn.IFNA(VLOOKUP(F24, EF_Stationary_Combustion[], IF(Parameters!$D$19="2014 IPCC Fifth Assessment", 'Emission Factors'!$I$9, 'Emission Factors'!$H$9), FALSE), ""), _xlfn.IFNA(VLOOKUP(Stationary_Combustion[[#This Row],[Fuel]], Custom_EF[], 9, FALSE), ""))</f>
        <v/>
      </c>
      <c r="O24" s="378" t="str">
        <f>IF(Stationary_Combustion[[#This Row],[EF (kgCO2e/unit)]]="", "", IF(Stationary_Combustion[[#This Row],[Custom Emission Factors?]]="Yes", VLOOKUP(Stationary_Combustion[[#This Row],[Fuel]], Custom_EF[], 4, FALSE), VLOOKUP(Stationary_Combustion[[#This Row],[Fuel]], EF_Stationary_Combustion[#All], 10, FALSE)))</f>
        <v/>
      </c>
    </row>
    <row r="25" spans="3:15" ht="15.75">
      <c r="C25" s="688"/>
      <c r="D25" s="689"/>
      <c r="E25" s="689"/>
      <c r="F25" s="689"/>
      <c r="G25" s="690"/>
      <c r="H25" s="689"/>
      <c r="I25" s="386" t="str">
        <f>IF(Stationary_Combustion[[#This Row],[Custom Emission Factors?]]="No", _xlfn.IFNA((VLOOKUP(Stationary_Combustion[[#This Row],[Fuel]], EF_Stationary_Combustion[], 3, FALSE)/IF(VLOOKUP(Stationary_Combustion[[#This Row],[Fuel]], EF_Stationary_Combustion[], 9,FALSE) ='S1-Stationary Combustion'!H25, 1, VLOOKUP(VLOOKUP(Stationary_Combustion[[#This Row],[Fuel]], EF_Stationary_Combustion[], 9,FALSE)&amp;"_to_"&amp;'S1-Stationary Combustion'!H25,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Combustion'!H25, 1, VLOOKUP(VLOOKUP(Stationary_Combustion[[#This Row],[Fuel]], Custom_EF[], 11,FALSE)&amp;"_to_"&amp;'S1-Stationary Combustion'!H25, Conversions!$B$52:$F$162, Conversions!$E$52, FALSE))*Stationary_Combustion[[#This Row],[Amount of fuel]]/1000), ""))</f>
        <v/>
      </c>
      <c r="J25" s="387" t="str">
        <f>IF(Stationary_Combustion[[#This Row],[Custom Emission Factors?]]="No", _xlfn.IFNA((VLOOKUP(Stationary_Combustion[[#This Row],[Fuel]], EF_Stationary_Combustion[], 4, FALSE)/IF(VLOOKUP(Stationary_Combustion[[#This Row],[Fuel]], EF_Stationary_Combustion[], 9,FALSE) ='S1-Stationary Combustion'!H25, 1, VLOOKUP(VLOOKUP(Stationary_Combustion[[#This Row],[Fuel]], EF_Stationary_Combustion[], 9,FALSE)&amp;"_to_"&amp;'S1-Stationary Combustion'!H25,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Combustion'!H25, 1, VLOOKUP(VLOOKUP(Stationary_Combustion[[#This Row],[Fuel]], Custom_EF[], 11,FALSE)&amp;"_to_"&amp;'S1-Stationary Combustion'!H25, Conversions!$B$52:$F$162, Conversions!$E$52, FALSE))*Stationary_Combustion[[#This Row],[Amount of fuel]]/1000), ""))</f>
        <v/>
      </c>
      <c r="K25" s="387" t="str">
        <f>IF(Stationary_Combustion[[#This Row],[Custom Emission Factors?]]="No", _xlfn.IFNA((VLOOKUP(Stationary_Combustion[[#This Row],[Fuel]], EF_Stationary_Combustion[], 5, FALSE)/IF(VLOOKUP(Stationary_Combustion[[#This Row],[Fuel]], EF_Stationary_Combustion[], 9,FALSE) ='S1-Stationary Combustion'!H25, 1, VLOOKUP(VLOOKUP(Stationary_Combustion[[#This Row],[Fuel]], EF_Stationary_Combustion[], 9,FALSE)&amp;"_to_"&amp;'S1-Stationary Combustion'!H25,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Combustion'!H25, 1, VLOOKUP(VLOOKUP(Stationary_Combustion[[#This Row],[Fuel]], Custom_EF[], 11,FALSE)&amp;"_to_"&amp;'S1-Stationary Combustion'!H25, Conversions!$B$52:$F$162, Conversions!$E$52, FALSE))*Stationary_Combustion[[#This Row],[Amount of fuel]]/1000), ""))</f>
        <v/>
      </c>
      <c r="L25" s="386" t="str">
        <f>IFERROR(IF(Parameters!$D$19="2014 IPCC Fifth Assessment", (I25*Data!$AJ$5)+(J25*Data!$AJ$6)+(K25*Data!$AJ$7), (I25*Data!$AI$5)+(J25*Data!$AI$6)+(K25*Data!$AI$7)), "")</f>
        <v/>
      </c>
      <c r="M25" s="386" t="str">
        <f>IF(Stationary_Combustion[[#This Row],[Custom Emission Factors?]]="No", _xlfn.IFNA((VLOOKUP(Stationary_Combustion[[#This Row],[Fuel]], EF_Stationary_Combustion[], 6, FALSE)/IF(VLOOKUP(Stationary_Combustion[[#This Row],[Fuel]], EF_Stationary_Combustion[], 9,FALSE) ='S1-Stationary Combustion'!H25, 1, VLOOKUP(VLOOKUP(Stationary_Combustion[[#This Row],[Fuel]], EF_Stationary_Combustion[], 9,FALSE)&amp;"_to_"&amp;'S1-Stationary Combustion'!H25,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Combustion'!H25, 1, VLOOKUP(VLOOKUP(Stationary_Combustion[[#This Row],[Fuel]], Custom_EF[], 10,FALSE)&amp;"_to_"&amp;'S1-Stationary Combustion'!H25, Conversions!$B$52:$F$162, Conversions!$E$52, FALSE))*Stationary_Combustion[[#This Row],[Amount of fuel]]/1000), ""))</f>
        <v/>
      </c>
      <c r="N25" s="388" t="str">
        <f>IF(Stationary_Combustion[[#This Row],[Custom Emission Factors?]]="No", _xlfn.IFNA(VLOOKUP(F25, EF_Stationary_Combustion[], IF(Parameters!$D$19="2014 IPCC Fifth Assessment", 'Emission Factors'!$I$9, 'Emission Factors'!$H$9), FALSE), ""), _xlfn.IFNA(VLOOKUP(Stationary_Combustion[[#This Row],[Fuel]], Custom_EF[], 9, FALSE), ""))</f>
        <v/>
      </c>
      <c r="O25" s="378" t="str">
        <f>IF(Stationary_Combustion[[#This Row],[EF (kgCO2e/unit)]]="", "", IF(Stationary_Combustion[[#This Row],[Custom Emission Factors?]]="Yes", VLOOKUP(Stationary_Combustion[[#This Row],[Fuel]], Custom_EF[], 4, FALSE), VLOOKUP(Stationary_Combustion[[#This Row],[Fuel]], EF_Stationary_Combustion[#All], 10, FALSE)))</f>
        <v/>
      </c>
    </row>
    <row r="26" spans="3:15" ht="15.75">
      <c r="C26" s="688"/>
      <c r="D26" s="689"/>
      <c r="E26" s="689"/>
      <c r="F26" s="689"/>
      <c r="G26" s="690"/>
      <c r="H26" s="689"/>
      <c r="I26" s="386" t="str">
        <f>IF(Stationary_Combustion[[#This Row],[Custom Emission Factors?]]="No", _xlfn.IFNA((VLOOKUP(Stationary_Combustion[[#This Row],[Fuel]], EF_Stationary_Combustion[], 3, FALSE)/IF(VLOOKUP(Stationary_Combustion[[#This Row],[Fuel]], EF_Stationary_Combustion[], 9,FALSE) ='S1-Stationary Combustion'!H26, 1, VLOOKUP(VLOOKUP(Stationary_Combustion[[#This Row],[Fuel]], EF_Stationary_Combustion[], 9,FALSE)&amp;"_to_"&amp;'S1-Stationary Combustion'!H26,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Combustion'!H26, 1, VLOOKUP(VLOOKUP(Stationary_Combustion[[#This Row],[Fuel]], Custom_EF[], 11,FALSE)&amp;"_to_"&amp;'S1-Stationary Combustion'!H26, Conversions!$B$52:$F$162, Conversions!$E$52, FALSE))*Stationary_Combustion[[#This Row],[Amount of fuel]]/1000), ""))</f>
        <v/>
      </c>
      <c r="J26" s="387" t="str">
        <f>IF(Stationary_Combustion[[#This Row],[Custom Emission Factors?]]="No", _xlfn.IFNA((VLOOKUP(Stationary_Combustion[[#This Row],[Fuel]], EF_Stationary_Combustion[], 4, FALSE)/IF(VLOOKUP(Stationary_Combustion[[#This Row],[Fuel]], EF_Stationary_Combustion[], 9,FALSE) ='S1-Stationary Combustion'!H26, 1, VLOOKUP(VLOOKUP(Stationary_Combustion[[#This Row],[Fuel]], EF_Stationary_Combustion[], 9,FALSE)&amp;"_to_"&amp;'S1-Stationary Combustion'!H26,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Combustion'!H26, 1, VLOOKUP(VLOOKUP(Stationary_Combustion[[#This Row],[Fuel]], Custom_EF[], 11,FALSE)&amp;"_to_"&amp;'S1-Stationary Combustion'!H26, Conversions!$B$52:$F$162, Conversions!$E$52, FALSE))*Stationary_Combustion[[#This Row],[Amount of fuel]]/1000), ""))</f>
        <v/>
      </c>
      <c r="K26" s="387" t="str">
        <f>IF(Stationary_Combustion[[#This Row],[Custom Emission Factors?]]="No", _xlfn.IFNA((VLOOKUP(Stationary_Combustion[[#This Row],[Fuel]], EF_Stationary_Combustion[], 5, FALSE)/IF(VLOOKUP(Stationary_Combustion[[#This Row],[Fuel]], EF_Stationary_Combustion[], 9,FALSE) ='S1-Stationary Combustion'!H26, 1, VLOOKUP(VLOOKUP(Stationary_Combustion[[#This Row],[Fuel]], EF_Stationary_Combustion[], 9,FALSE)&amp;"_to_"&amp;'S1-Stationary Combustion'!H26,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Combustion'!H26, 1, VLOOKUP(VLOOKUP(Stationary_Combustion[[#This Row],[Fuel]], Custom_EF[], 11,FALSE)&amp;"_to_"&amp;'S1-Stationary Combustion'!H26, Conversions!$B$52:$F$162, Conversions!$E$52, FALSE))*Stationary_Combustion[[#This Row],[Amount of fuel]]/1000), ""))</f>
        <v/>
      </c>
      <c r="L26" s="386" t="str">
        <f>IFERROR(IF(Parameters!$D$19="2014 IPCC Fifth Assessment", (I26*Data!$AJ$5)+(J26*Data!$AJ$6)+(K26*Data!$AJ$7), (I26*Data!$AI$5)+(J26*Data!$AI$6)+(K26*Data!$AI$7)), "")</f>
        <v/>
      </c>
      <c r="M26" s="386" t="str">
        <f>IF(Stationary_Combustion[[#This Row],[Custom Emission Factors?]]="No", _xlfn.IFNA((VLOOKUP(Stationary_Combustion[[#This Row],[Fuel]], EF_Stationary_Combustion[], 6, FALSE)/IF(VLOOKUP(Stationary_Combustion[[#This Row],[Fuel]], EF_Stationary_Combustion[], 9,FALSE) ='S1-Stationary Combustion'!H26, 1, VLOOKUP(VLOOKUP(Stationary_Combustion[[#This Row],[Fuel]], EF_Stationary_Combustion[], 9,FALSE)&amp;"_to_"&amp;'S1-Stationary Combustion'!H26,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Combustion'!H26, 1, VLOOKUP(VLOOKUP(Stationary_Combustion[[#This Row],[Fuel]], Custom_EF[], 10,FALSE)&amp;"_to_"&amp;'S1-Stationary Combustion'!H26, Conversions!$B$52:$F$162, Conversions!$E$52, FALSE))*Stationary_Combustion[[#This Row],[Amount of fuel]]/1000), ""))</f>
        <v/>
      </c>
      <c r="N26" s="388" t="str">
        <f>IF(Stationary_Combustion[[#This Row],[Custom Emission Factors?]]="No", _xlfn.IFNA(VLOOKUP(F26, EF_Stationary_Combustion[], IF(Parameters!$D$19="2014 IPCC Fifth Assessment", 'Emission Factors'!$I$9, 'Emission Factors'!$H$9), FALSE), ""), _xlfn.IFNA(VLOOKUP(Stationary_Combustion[[#This Row],[Fuel]], Custom_EF[], 9, FALSE), ""))</f>
        <v/>
      </c>
      <c r="O26" s="378" t="str">
        <f>IF(Stationary_Combustion[[#This Row],[EF (kgCO2e/unit)]]="", "", IF(Stationary_Combustion[[#This Row],[Custom Emission Factors?]]="Yes", VLOOKUP(Stationary_Combustion[[#This Row],[Fuel]], Custom_EF[], 4, FALSE), VLOOKUP(Stationary_Combustion[[#This Row],[Fuel]], EF_Stationary_Combustion[#All], 10, FALSE)))</f>
        <v/>
      </c>
    </row>
    <row r="27" spans="3:15" ht="15.75">
      <c r="C27" s="688"/>
      <c r="D27" s="689"/>
      <c r="E27" s="689"/>
      <c r="F27" s="689"/>
      <c r="G27" s="690"/>
      <c r="H27" s="689"/>
      <c r="I27" s="386" t="str">
        <f>IF(Stationary_Combustion[[#This Row],[Custom Emission Factors?]]="No", _xlfn.IFNA((VLOOKUP(Stationary_Combustion[[#This Row],[Fuel]], EF_Stationary_Combustion[], 3, FALSE)/IF(VLOOKUP(Stationary_Combustion[[#This Row],[Fuel]], EF_Stationary_Combustion[], 9,FALSE) ='S1-Stationary Combustion'!H27, 1, VLOOKUP(VLOOKUP(Stationary_Combustion[[#This Row],[Fuel]], EF_Stationary_Combustion[], 9,FALSE)&amp;"_to_"&amp;'S1-Stationary Combustion'!H27,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Combustion'!H27, 1, VLOOKUP(VLOOKUP(Stationary_Combustion[[#This Row],[Fuel]], Custom_EF[], 11,FALSE)&amp;"_to_"&amp;'S1-Stationary Combustion'!H27, Conversions!$B$52:$F$162, Conversions!$E$52, FALSE))*Stationary_Combustion[[#This Row],[Amount of fuel]]/1000), ""))</f>
        <v/>
      </c>
      <c r="J27" s="387" t="str">
        <f>IF(Stationary_Combustion[[#This Row],[Custom Emission Factors?]]="No", _xlfn.IFNA((VLOOKUP(Stationary_Combustion[[#This Row],[Fuel]], EF_Stationary_Combustion[], 4, FALSE)/IF(VLOOKUP(Stationary_Combustion[[#This Row],[Fuel]], EF_Stationary_Combustion[], 9,FALSE) ='S1-Stationary Combustion'!H27, 1, VLOOKUP(VLOOKUP(Stationary_Combustion[[#This Row],[Fuel]], EF_Stationary_Combustion[], 9,FALSE)&amp;"_to_"&amp;'S1-Stationary Combustion'!H27,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Combustion'!H27, 1, VLOOKUP(VLOOKUP(Stationary_Combustion[[#This Row],[Fuel]], Custom_EF[], 11,FALSE)&amp;"_to_"&amp;'S1-Stationary Combustion'!H27, Conversions!$B$52:$F$162, Conversions!$E$52, FALSE))*Stationary_Combustion[[#This Row],[Amount of fuel]]/1000), ""))</f>
        <v/>
      </c>
      <c r="K27" s="387" t="str">
        <f>IF(Stationary_Combustion[[#This Row],[Custom Emission Factors?]]="No", _xlfn.IFNA((VLOOKUP(Stationary_Combustion[[#This Row],[Fuel]], EF_Stationary_Combustion[], 5, FALSE)/IF(VLOOKUP(Stationary_Combustion[[#This Row],[Fuel]], EF_Stationary_Combustion[], 9,FALSE) ='S1-Stationary Combustion'!H27, 1, VLOOKUP(VLOOKUP(Stationary_Combustion[[#This Row],[Fuel]], EF_Stationary_Combustion[], 9,FALSE)&amp;"_to_"&amp;'S1-Stationary Combustion'!H27,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Combustion'!H27, 1, VLOOKUP(VLOOKUP(Stationary_Combustion[[#This Row],[Fuel]], Custom_EF[], 11,FALSE)&amp;"_to_"&amp;'S1-Stationary Combustion'!H27, Conversions!$B$52:$F$162, Conversions!$E$52, FALSE))*Stationary_Combustion[[#This Row],[Amount of fuel]]/1000), ""))</f>
        <v/>
      </c>
      <c r="L27" s="386" t="str">
        <f>IFERROR(IF(Parameters!$D$19="2014 IPCC Fifth Assessment", (I27*Data!$AJ$5)+(J27*Data!$AJ$6)+(K27*Data!$AJ$7), (I27*Data!$AI$5)+(J27*Data!$AI$6)+(K27*Data!$AI$7)), "")</f>
        <v/>
      </c>
      <c r="M27" s="386" t="str">
        <f>IF(Stationary_Combustion[[#This Row],[Custom Emission Factors?]]="No", _xlfn.IFNA((VLOOKUP(Stationary_Combustion[[#This Row],[Fuel]], EF_Stationary_Combustion[], 6, FALSE)/IF(VLOOKUP(Stationary_Combustion[[#This Row],[Fuel]], EF_Stationary_Combustion[], 9,FALSE) ='S1-Stationary Combustion'!H27, 1, VLOOKUP(VLOOKUP(Stationary_Combustion[[#This Row],[Fuel]], EF_Stationary_Combustion[], 9,FALSE)&amp;"_to_"&amp;'S1-Stationary Combustion'!H27,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Combustion'!H27, 1, VLOOKUP(VLOOKUP(Stationary_Combustion[[#This Row],[Fuel]], Custom_EF[], 10,FALSE)&amp;"_to_"&amp;'S1-Stationary Combustion'!H27, Conversions!$B$52:$F$162, Conversions!$E$52, FALSE))*Stationary_Combustion[[#This Row],[Amount of fuel]]/1000), ""))</f>
        <v/>
      </c>
      <c r="N27" s="388" t="str">
        <f>IF(Stationary_Combustion[[#This Row],[Custom Emission Factors?]]="No", _xlfn.IFNA(VLOOKUP(F27, EF_Stationary_Combustion[], IF(Parameters!$D$19="2014 IPCC Fifth Assessment", 'Emission Factors'!$I$9, 'Emission Factors'!$H$9), FALSE), ""), _xlfn.IFNA(VLOOKUP(Stationary_Combustion[[#This Row],[Fuel]], Custom_EF[], 9, FALSE), ""))</f>
        <v/>
      </c>
      <c r="O27" s="378" t="str">
        <f>IF(Stationary_Combustion[[#This Row],[EF (kgCO2e/unit)]]="", "", IF(Stationary_Combustion[[#This Row],[Custom Emission Factors?]]="Yes", VLOOKUP(Stationary_Combustion[[#This Row],[Fuel]], Custom_EF[], 4, FALSE), VLOOKUP(Stationary_Combustion[[#This Row],[Fuel]], EF_Stationary_Combustion[#All], 10, FALSE)))</f>
        <v/>
      </c>
    </row>
    <row r="28" spans="3:15" ht="15.75">
      <c r="C28" s="688"/>
      <c r="D28" s="689"/>
      <c r="E28" s="689"/>
      <c r="F28" s="689"/>
      <c r="G28" s="690"/>
      <c r="H28" s="689"/>
      <c r="I28" s="386" t="str">
        <f>IF(Stationary_Combustion[[#This Row],[Custom Emission Factors?]]="No", _xlfn.IFNA((VLOOKUP(Stationary_Combustion[[#This Row],[Fuel]], EF_Stationary_Combustion[], 3, FALSE)/IF(VLOOKUP(Stationary_Combustion[[#This Row],[Fuel]], EF_Stationary_Combustion[], 9,FALSE) ='S1-Stationary Combustion'!H28, 1, VLOOKUP(VLOOKUP(Stationary_Combustion[[#This Row],[Fuel]], EF_Stationary_Combustion[], 9,FALSE)&amp;"_to_"&amp;'S1-Stationary Combustion'!H28,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Combustion'!H28, 1, VLOOKUP(VLOOKUP(Stationary_Combustion[[#This Row],[Fuel]], Custom_EF[], 11,FALSE)&amp;"_to_"&amp;'S1-Stationary Combustion'!H28, Conversions!$B$52:$F$162, Conversions!$E$52, FALSE))*Stationary_Combustion[[#This Row],[Amount of fuel]]/1000), ""))</f>
        <v/>
      </c>
      <c r="J28" s="387" t="str">
        <f>IF(Stationary_Combustion[[#This Row],[Custom Emission Factors?]]="No", _xlfn.IFNA((VLOOKUP(Stationary_Combustion[[#This Row],[Fuel]], EF_Stationary_Combustion[], 4, FALSE)/IF(VLOOKUP(Stationary_Combustion[[#This Row],[Fuel]], EF_Stationary_Combustion[], 9,FALSE) ='S1-Stationary Combustion'!H28, 1, VLOOKUP(VLOOKUP(Stationary_Combustion[[#This Row],[Fuel]], EF_Stationary_Combustion[], 9,FALSE)&amp;"_to_"&amp;'S1-Stationary Combustion'!H28,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Combustion'!H28, 1, VLOOKUP(VLOOKUP(Stationary_Combustion[[#This Row],[Fuel]], Custom_EF[], 11,FALSE)&amp;"_to_"&amp;'S1-Stationary Combustion'!H28, Conversions!$B$52:$F$162, Conversions!$E$52, FALSE))*Stationary_Combustion[[#This Row],[Amount of fuel]]/1000), ""))</f>
        <v/>
      </c>
      <c r="K28" s="387" t="str">
        <f>IF(Stationary_Combustion[[#This Row],[Custom Emission Factors?]]="No", _xlfn.IFNA((VLOOKUP(Stationary_Combustion[[#This Row],[Fuel]], EF_Stationary_Combustion[], 5, FALSE)/IF(VLOOKUP(Stationary_Combustion[[#This Row],[Fuel]], EF_Stationary_Combustion[], 9,FALSE) ='S1-Stationary Combustion'!H28, 1, VLOOKUP(VLOOKUP(Stationary_Combustion[[#This Row],[Fuel]], EF_Stationary_Combustion[], 9,FALSE)&amp;"_to_"&amp;'S1-Stationary Combustion'!H28,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Combustion'!H28, 1, VLOOKUP(VLOOKUP(Stationary_Combustion[[#This Row],[Fuel]], Custom_EF[], 11,FALSE)&amp;"_to_"&amp;'S1-Stationary Combustion'!H28, Conversions!$B$52:$F$162, Conversions!$E$52, FALSE))*Stationary_Combustion[[#This Row],[Amount of fuel]]/1000), ""))</f>
        <v/>
      </c>
      <c r="L28" s="386" t="str">
        <f>IFERROR(IF(Parameters!$D$19="2014 IPCC Fifth Assessment", (I28*Data!$AJ$5)+(J28*Data!$AJ$6)+(K28*Data!$AJ$7), (I28*Data!$AI$5)+(J28*Data!$AI$6)+(K28*Data!$AI$7)), "")</f>
        <v/>
      </c>
      <c r="M28" s="386" t="str">
        <f>IF(Stationary_Combustion[[#This Row],[Custom Emission Factors?]]="No", _xlfn.IFNA((VLOOKUP(Stationary_Combustion[[#This Row],[Fuel]], EF_Stationary_Combustion[], 6, FALSE)/IF(VLOOKUP(Stationary_Combustion[[#This Row],[Fuel]], EF_Stationary_Combustion[], 9,FALSE) ='S1-Stationary Combustion'!H28, 1, VLOOKUP(VLOOKUP(Stationary_Combustion[[#This Row],[Fuel]], EF_Stationary_Combustion[], 9,FALSE)&amp;"_to_"&amp;'S1-Stationary Combustion'!H28,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Combustion'!H28, 1, VLOOKUP(VLOOKUP(Stationary_Combustion[[#This Row],[Fuel]], Custom_EF[], 10,FALSE)&amp;"_to_"&amp;'S1-Stationary Combustion'!H28, Conversions!$B$52:$F$162, Conversions!$E$52, FALSE))*Stationary_Combustion[[#This Row],[Amount of fuel]]/1000), ""))</f>
        <v/>
      </c>
      <c r="N28" s="388" t="str">
        <f>IF(Stationary_Combustion[[#This Row],[Custom Emission Factors?]]="No", _xlfn.IFNA(VLOOKUP(F28, EF_Stationary_Combustion[], IF(Parameters!$D$19="2014 IPCC Fifth Assessment", 'Emission Factors'!$I$9, 'Emission Factors'!$H$9), FALSE), ""), _xlfn.IFNA(VLOOKUP(Stationary_Combustion[[#This Row],[Fuel]], Custom_EF[], 9, FALSE), ""))</f>
        <v/>
      </c>
      <c r="O28" s="378" t="str">
        <f>IF(Stationary_Combustion[[#This Row],[EF (kgCO2e/unit)]]="", "", IF(Stationary_Combustion[[#This Row],[Custom Emission Factors?]]="Yes", VLOOKUP(Stationary_Combustion[[#This Row],[Fuel]], Custom_EF[], 4, FALSE), VLOOKUP(Stationary_Combustion[[#This Row],[Fuel]], EF_Stationary_Combustion[#All], 10, FALSE)))</f>
        <v/>
      </c>
    </row>
    <row r="29" spans="3:15" ht="15.75">
      <c r="C29" s="688"/>
      <c r="D29" s="689"/>
      <c r="E29" s="689"/>
      <c r="F29" s="689"/>
      <c r="G29" s="690"/>
      <c r="H29" s="689"/>
      <c r="I29" s="386" t="str">
        <f>IF(Stationary_Combustion[[#This Row],[Custom Emission Factors?]]="No", _xlfn.IFNA((VLOOKUP(Stationary_Combustion[[#This Row],[Fuel]], EF_Stationary_Combustion[], 3, FALSE)/IF(VLOOKUP(Stationary_Combustion[[#This Row],[Fuel]], EF_Stationary_Combustion[], 9,FALSE) ='S1-Stationary Combustion'!H29, 1, VLOOKUP(VLOOKUP(Stationary_Combustion[[#This Row],[Fuel]], EF_Stationary_Combustion[], 9,FALSE)&amp;"_to_"&amp;'S1-Stationary Combustion'!H29,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Combustion'!H29, 1, VLOOKUP(VLOOKUP(Stationary_Combustion[[#This Row],[Fuel]], Custom_EF[], 11,FALSE)&amp;"_to_"&amp;'S1-Stationary Combustion'!H29, Conversions!$B$52:$F$162, Conversions!$E$52, FALSE))*Stationary_Combustion[[#This Row],[Amount of fuel]]/1000), ""))</f>
        <v/>
      </c>
      <c r="J29" s="387" t="str">
        <f>IF(Stationary_Combustion[[#This Row],[Custom Emission Factors?]]="No", _xlfn.IFNA((VLOOKUP(Stationary_Combustion[[#This Row],[Fuel]], EF_Stationary_Combustion[], 4, FALSE)/IF(VLOOKUP(Stationary_Combustion[[#This Row],[Fuel]], EF_Stationary_Combustion[], 9,FALSE) ='S1-Stationary Combustion'!H29, 1, VLOOKUP(VLOOKUP(Stationary_Combustion[[#This Row],[Fuel]], EF_Stationary_Combustion[], 9,FALSE)&amp;"_to_"&amp;'S1-Stationary Combustion'!H29,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Combustion'!H29, 1, VLOOKUP(VLOOKUP(Stationary_Combustion[[#This Row],[Fuel]], Custom_EF[], 11,FALSE)&amp;"_to_"&amp;'S1-Stationary Combustion'!H29, Conversions!$B$52:$F$162, Conversions!$E$52, FALSE))*Stationary_Combustion[[#This Row],[Amount of fuel]]/1000), ""))</f>
        <v/>
      </c>
      <c r="K29" s="387" t="str">
        <f>IF(Stationary_Combustion[[#This Row],[Custom Emission Factors?]]="No", _xlfn.IFNA((VLOOKUP(Stationary_Combustion[[#This Row],[Fuel]], EF_Stationary_Combustion[], 5, FALSE)/IF(VLOOKUP(Stationary_Combustion[[#This Row],[Fuel]], EF_Stationary_Combustion[], 9,FALSE) ='S1-Stationary Combustion'!H29, 1, VLOOKUP(VLOOKUP(Stationary_Combustion[[#This Row],[Fuel]], EF_Stationary_Combustion[], 9,FALSE)&amp;"_to_"&amp;'S1-Stationary Combustion'!H29,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Combustion'!H29, 1, VLOOKUP(VLOOKUP(Stationary_Combustion[[#This Row],[Fuel]], Custom_EF[], 11,FALSE)&amp;"_to_"&amp;'S1-Stationary Combustion'!H29, Conversions!$B$52:$F$162, Conversions!$E$52, FALSE))*Stationary_Combustion[[#This Row],[Amount of fuel]]/1000), ""))</f>
        <v/>
      </c>
      <c r="L29" s="386" t="str">
        <f>IFERROR(IF(Parameters!$D$19="2014 IPCC Fifth Assessment", (I29*Data!$AJ$5)+(J29*Data!$AJ$6)+(K29*Data!$AJ$7), (I29*Data!$AI$5)+(J29*Data!$AI$6)+(K29*Data!$AI$7)), "")</f>
        <v/>
      </c>
      <c r="M29" s="386" t="str">
        <f>IF(Stationary_Combustion[[#This Row],[Custom Emission Factors?]]="No", _xlfn.IFNA((VLOOKUP(Stationary_Combustion[[#This Row],[Fuel]], EF_Stationary_Combustion[], 6, FALSE)/IF(VLOOKUP(Stationary_Combustion[[#This Row],[Fuel]], EF_Stationary_Combustion[], 9,FALSE) ='S1-Stationary Combustion'!H29, 1, VLOOKUP(VLOOKUP(Stationary_Combustion[[#This Row],[Fuel]], EF_Stationary_Combustion[], 9,FALSE)&amp;"_to_"&amp;'S1-Stationary Combustion'!H29,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Combustion'!H29, 1, VLOOKUP(VLOOKUP(Stationary_Combustion[[#This Row],[Fuel]], Custom_EF[], 10,FALSE)&amp;"_to_"&amp;'S1-Stationary Combustion'!H29, Conversions!$B$52:$F$162, Conversions!$E$52, FALSE))*Stationary_Combustion[[#This Row],[Amount of fuel]]/1000), ""))</f>
        <v/>
      </c>
      <c r="N29" s="388" t="str">
        <f>IF(Stationary_Combustion[[#This Row],[Custom Emission Factors?]]="No", _xlfn.IFNA(VLOOKUP(F29, EF_Stationary_Combustion[], IF(Parameters!$D$19="2014 IPCC Fifth Assessment", 'Emission Factors'!$I$9, 'Emission Factors'!$H$9), FALSE), ""), _xlfn.IFNA(VLOOKUP(Stationary_Combustion[[#This Row],[Fuel]], Custom_EF[], 9, FALSE), ""))</f>
        <v/>
      </c>
      <c r="O29" s="378" t="str">
        <f>IF(Stationary_Combustion[[#This Row],[EF (kgCO2e/unit)]]="", "", IF(Stationary_Combustion[[#This Row],[Custom Emission Factors?]]="Yes", VLOOKUP(Stationary_Combustion[[#This Row],[Fuel]], Custom_EF[], 4, FALSE), VLOOKUP(Stationary_Combustion[[#This Row],[Fuel]], EF_Stationary_Combustion[#All], 10, FALSE)))</f>
        <v/>
      </c>
    </row>
    <row r="30" spans="3:15" ht="15.75">
      <c r="C30" s="688"/>
      <c r="D30" s="689"/>
      <c r="E30" s="689"/>
      <c r="F30" s="689"/>
      <c r="G30" s="690"/>
      <c r="H30" s="689"/>
      <c r="I30" s="386" t="str">
        <f>IF(Stationary_Combustion[[#This Row],[Custom Emission Factors?]]="No", _xlfn.IFNA((VLOOKUP(Stationary_Combustion[[#This Row],[Fuel]], EF_Stationary_Combustion[], 3, FALSE)/IF(VLOOKUP(Stationary_Combustion[[#This Row],[Fuel]], EF_Stationary_Combustion[], 9,FALSE) ='S1-Stationary Combustion'!H30, 1, VLOOKUP(VLOOKUP(Stationary_Combustion[[#This Row],[Fuel]], EF_Stationary_Combustion[], 9,FALSE)&amp;"_to_"&amp;'S1-Stationary Combustion'!H30,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Combustion'!H30, 1, VLOOKUP(VLOOKUP(Stationary_Combustion[[#This Row],[Fuel]], Custom_EF[], 11,FALSE)&amp;"_to_"&amp;'S1-Stationary Combustion'!H30, Conversions!$B$52:$F$162, Conversions!$E$52, FALSE))*Stationary_Combustion[[#This Row],[Amount of fuel]]/1000), ""))</f>
        <v/>
      </c>
      <c r="J30" s="387" t="str">
        <f>IF(Stationary_Combustion[[#This Row],[Custom Emission Factors?]]="No", _xlfn.IFNA((VLOOKUP(Stationary_Combustion[[#This Row],[Fuel]], EF_Stationary_Combustion[], 4, FALSE)/IF(VLOOKUP(Stationary_Combustion[[#This Row],[Fuel]], EF_Stationary_Combustion[], 9,FALSE) ='S1-Stationary Combustion'!H30, 1, VLOOKUP(VLOOKUP(Stationary_Combustion[[#This Row],[Fuel]], EF_Stationary_Combustion[], 9,FALSE)&amp;"_to_"&amp;'S1-Stationary Combustion'!H30,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Combustion'!H30, 1, VLOOKUP(VLOOKUP(Stationary_Combustion[[#This Row],[Fuel]], Custom_EF[], 11,FALSE)&amp;"_to_"&amp;'S1-Stationary Combustion'!H30, Conversions!$B$52:$F$162, Conversions!$E$52, FALSE))*Stationary_Combustion[[#This Row],[Amount of fuel]]/1000), ""))</f>
        <v/>
      </c>
      <c r="K30" s="387" t="str">
        <f>IF(Stationary_Combustion[[#This Row],[Custom Emission Factors?]]="No", _xlfn.IFNA((VLOOKUP(Stationary_Combustion[[#This Row],[Fuel]], EF_Stationary_Combustion[], 5, FALSE)/IF(VLOOKUP(Stationary_Combustion[[#This Row],[Fuel]], EF_Stationary_Combustion[], 9,FALSE) ='S1-Stationary Combustion'!H30, 1, VLOOKUP(VLOOKUP(Stationary_Combustion[[#This Row],[Fuel]], EF_Stationary_Combustion[], 9,FALSE)&amp;"_to_"&amp;'S1-Stationary Combustion'!H30,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Combustion'!H30, 1, VLOOKUP(VLOOKUP(Stationary_Combustion[[#This Row],[Fuel]], Custom_EF[], 11,FALSE)&amp;"_to_"&amp;'S1-Stationary Combustion'!H30, Conversions!$B$52:$F$162, Conversions!$E$52, FALSE))*Stationary_Combustion[[#This Row],[Amount of fuel]]/1000), ""))</f>
        <v/>
      </c>
      <c r="L30" s="386" t="str">
        <f>IFERROR(IF(Parameters!$D$19="2014 IPCC Fifth Assessment", (I30*Data!$AJ$5)+(J30*Data!$AJ$6)+(K30*Data!$AJ$7), (I30*Data!$AI$5)+(J30*Data!$AI$6)+(K30*Data!$AI$7)), "")</f>
        <v/>
      </c>
      <c r="M30" s="386" t="str">
        <f>IF(Stationary_Combustion[[#This Row],[Custom Emission Factors?]]="No", _xlfn.IFNA((VLOOKUP(Stationary_Combustion[[#This Row],[Fuel]], EF_Stationary_Combustion[], 6, FALSE)/IF(VLOOKUP(Stationary_Combustion[[#This Row],[Fuel]], EF_Stationary_Combustion[], 9,FALSE) ='S1-Stationary Combustion'!H30, 1, VLOOKUP(VLOOKUP(Stationary_Combustion[[#This Row],[Fuel]], EF_Stationary_Combustion[], 9,FALSE)&amp;"_to_"&amp;'S1-Stationary Combustion'!H30,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Combustion'!H30, 1, VLOOKUP(VLOOKUP(Stationary_Combustion[[#This Row],[Fuel]], Custom_EF[], 10,FALSE)&amp;"_to_"&amp;'S1-Stationary Combustion'!H30, Conversions!$B$52:$F$162, Conversions!$E$52, FALSE))*Stationary_Combustion[[#This Row],[Amount of fuel]]/1000), ""))</f>
        <v/>
      </c>
      <c r="N30" s="388" t="str">
        <f>IF(Stationary_Combustion[[#This Row],[Custom Emission Factors?]]="No", _xlfn.IFNA(VLOOKUP(F30, EF_Stationary_Combustion[], IF(Parameters!$D$19="2014 IPCC Fifth Assessment", 'Emission Factors'!$I$9, 'Emission Factors'!$H$9), FALSE), ""), _xlfn.IFNA(VLOOKUP(Stationary_Combustion[[#This Row],[Fuel]], Custom_EF[], 9, FALSE), ""))</f>
        <v/>
      </c>
      <c r="O30" s="378" t="str">
        <f>IF(Stationary_Combustion[[#This Row],[EF (kgCO2e/unit)]]="", "", IF(Stationary_Combustion[[#This Row],[Custom Emission Factors?]]="Yes", VLOOKUP(Stationary_Combustion[[#This Row],[Fuel]], Custom_EF[], 4, FALSE), VLOOKUP(Stationary_Combustion[[#This Row],[Fuel]], EF_Stationary_Combustion[#All], 10, FALSE)))</f>
        <v/>
      </c>
    </row>
    <row r="31" spans="3:15" ht="15.75">
      <c r="C31" s="688"/>
      <c r="D31" s="689"/>
      <c r="E31" s="689"/>
      <c r="F31" s="689"/>
      <c r="G31" s="690"/>
      <c r="H31" s="689"/>
      <c r="I31" s="386" t="str">
        <f>IF(Stationary_Combustion[[#This Row],[Custom Emission Factors?]]="No", _xlfn.IFNA((VLOOKUP(Stationary_Combustion[[#This Row],[Fuel]], EF_Stationary_Combustion[], 3, FALSE)/IF(VLOOKUP(Stationary_Combustion[[#This Row],[Fuel]], EF_Stationary_Combustion[], 9,FALSE) ='S1-Stationary Combustion'!H31, 1, VLOOKUP(VLOOKUP(Stationary_Combustion[[#This Row],[Fuel]], EF_Stationary_Combustion[], 9,FALSE)&amp;"_to_"&amp;'S1-Stationary Combustion'!H31,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Combustion'!H31, 1, VLOOKUP(VLOOKUP(Stationary_Combustion[[#This Row],[Fuel]], Custom_EF[], 11,FALSE)&amp;"_to_"&amp;'S1-Stationary Combustion'!H31, Conversions!$B$52:$F$162, Conversions!$E$52, FALSE))*Stationary_Combustion[[#This Row],[Amount of fuel]]/1000), ""))</f>
        <v/>
      </c>
      <c r="J31" s="387" t="str">
        <f>IF(Stationary_Combustion[[#This Row],[Custom Emission Factors?]]="No", _xlfn.IFNA((VLOOKUP(Stationary_Combustion[[#This Row],[Fuel]], EF_Stationary_Combustion[], 4, FALSE)/IF(VLOOKUP(Stationary_Combustion[[#This Row],[Fuel]], EF_Stationary_Combustion[], 9,FALSE) ='S1-Stationary Combustion'!H31, 1, VLOOKUP(VLOOKUP(Stationary_Combustion[[#This Row],[Fuel]], EF_Stationary_Combustion[], 9,FALSE)&amp;"_to_"&amp;'S1-Stationary Combustion'!H31,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Combustion'!H31, 1, VLOOKUP(VLOOKUP(Stationary_Combustion[[#This Row],[Fuel]], Custom_EF[], 11,FALSE)&amp;"_to_"&amp;'S1-Stationary Combustion'!H31, Conversions!$B$52:$F$162, Conversions!$E$52, FALSE))*Stationary_Combustion[[#This Row],[Amount of fuel]]/1000), ""))</f>
        <v/>
      </c>
      <c r="K31" s="387" t="str">
        <f>IF(Stationary_Combustion[[#This Row],[Custom Emission Factors?]]="No", _xlfn.IFNA((VLOOKUP(Stationary_Combustion[[#This Row],[Fuel]], EF_Stationary_Combustion[], 5, FALSE)/IF(VLOOKUP(Stationary_Combustion[[#This Row],[Fuel]], EF_Stationary_Combustion[], 9,FALSE) ='S1-Stationary Combustion'!H31, 1, VLOOKUP(VLOOKUP(Stationary_Combustion[[#This Row],[Fuel]], EF_Stationary_Combustion[], 9,FALSE)&amp;"_to_"&amp;'S1-Stationary Combustion'!H31,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Combustion'!H31, 1, VLOOKUP(VLOOKUP(Stationary_Combustion[[#This Row],[Fuel]], Custom_EF[], 11,FALSE)&amp;"_to_"&amp;'S1-Stationary Combustion'!H31, Conversions!$B$52:$F$162, Conversions!$E$52, FALSE))*Stationary_Combustion[[#This Row],[Amount of fuel]]/1000), ""))</f>
        <v/>
      </c>
      <c r="L31" s="386" t="str">
        <f>IFERROR(IF(Parameters!$D$19="2014 IPCC Fifth Assessment", (I31*Data!$AJ$5)+(J31*Data!$AJ$6)+(K31*Data!$AJ$7), (I31*Data!$AI$5)+(J31*Data!$AI$6)+(K31*Data!$AI$7)), "")</f>
        <v/>
      </c>
      <c r="M31" s="386" t="str">
        <f>IF(Stationary_Combustion[[#This Row],[Custom Emission Factors?]]="No", _xlfn.IFNA((VLOOKUP(Stationary_Combustion[[#This Row],[Fuel]], EF_Stationary_Combustion[], 6, FALSE)/IF(VLOOKUP(Stationary_Combustion[[#This Row],[Fuel]], EF_Stationary_Combustion[], 9,FALSE) ='S1-Stationary Combustion'!H31, 1, VLOOKUP(VLOOKUP(Stationary_Combustion[[#This Row],[Fuel]], EF_Stationary_Combustion[], 9,FALSE)&amp;"_to_"&amp;'S1-Stationary Combustion'!H31,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Combustion'!H31, 1, VLOOKUP(VLOOKUP(Stationary_Combustion[[#This Row],[Fuel]], Custom_EF[], 10,FALSE)&amp;"_to_"&amp;'S1-Stationary Combustion'!H31, Conversions!$B$52:$F$162, Conversions!$E$52, FALSE))*Stationary_Combustion[[#This Row],[Amount of fuel]]/1000), ""))</f>
        <v/>
      </c>
      <c r="N31" s="388" t="str">
        <f>IF(Stationary_Combustion[[#This Row],[Custom Emission Factors?]]="No", _xlfn.IFNA(VLOOKUP(F31, EF_Stationary_Combustion[], IF(Parameters!$D$19="2014 IPCC Fifth Assessment", 'Emission Factors'!$I$9, 'Emission Factors'!$H$9), FALSE), ""), _xlfn.IFNA(VLOOKUP(Stationary_Combustion[[#This Row],[Fuel]], Custom_EF[], 9, FALSE), ""))</f>
        <v/>
      </c>
      <c r="O31" s="378" t="str">
        <f>IF(Stationary_Combustion[[#This Row],[EF (kgCO2e/unit)]]="", "", IF(Stationary_Combustion[[#This Row],[Custom Emission Factors?]]="Yes", VLOOKUP(Stationary_Combustion[[#This Row],[Fuel]], Custom_EF[], 4, FALSE), VLOOKUP(Stationary_Combustion[[#This Row],[Fuel]], EF_Stationary_Combustion[#All], 10, FALSE)))</f>
        <v/>
      </c>
    </row>
    <row r="32" spans="3:15" ht="15.75">
      <c r="C32" s="688"/>
      <c r="D32" s="689"/>
      <c r="E32" s="689"/>
      <c r="F32" s="689"/>
      <c r="G32" s="690"/>
      <c r="H32" s="689"/>
      <c r="I32" s="386" t="str">
        <f>IF(Stationary_Combustion[[#This Row],[Custom Emission Factors?]]="No", _xlfn.IFNA((VLOOKUP(Stationary_Combustion[[#This Row],[Fuel]], EF_Stationary_Combustion[], 3, FALSE)/IF(VLOOKUP(Stationary_Combustion[[#This Row],[Fuel]], EF_Stationary_Combustion[], 9,FALSE) ='S1-Stationary Combustion'!H32, 1, VLOOKUP(VLOOKUP(Stationary_Combustion[[#This Row],[Fuel]], EF_Stationary_Combustion[], 9,FALSE)&amp;"_to_"&amp;'S1-Stationary Combustion'!H32,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Combustion'!H32, 1, VLOOKUP(VLOOKUP(Stationary_Combustion[[#This Row],[Fuel]], Custom_EF[], 11,FALSE)&amp;"_to_"&amp;'S1-Stationary Combustion'!H32, Conversions!$B$52:$F$162, Conversions!$E$52, FALSE))*Stationary_Combustion[[#This Row],[Amount of fuel]]/1000), ""))</f>
        <v/>
      </c>
      <c r="J32" s="387" t="str">
        <f>IF(Stationary_Combustion[[#This Row],[Custom Emission Factors?]]="No", _xlfn.IFNA((VLOOKUP(Stationary_Combustion[[#This Row],[Fuel]], EF_Stationary_Combustion[], 4, FALSE)/IF(VLOOKUP(Stationary_Combustion[[#This Row],[Fuel]], EF_Stationary_Combustion[], 9,FALSE) ='S1-Stationary Combustion'!H32, 1, VLOOKUP(VLOOKUP(Stationary_Combustion[[#This Row],[Fuel]], EF_Stationary_Combustion[], 9,FALSE)&amp;"_to_"&amp;'S1-Stationary Combustion'!H32,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Combustion'!H32, 1, VLOOKUP(VLOOKUP(Stationary_Combustion[[#This Row],[Fuel]], Custom_EF[], 11,FALSE)&amp;"_to_"&amp;'S1-Stationary Combustion'!H32, Conversions!$B$52:$F$162, Conversions!$E$52, FALSE))*Stationary_Combustion[[#This Row],[Amount of fuel]]/1000), ""))</f>
        <v/>
      </c>
      <c r="K32" s="387" t="str">
        <f>IF(Stationary_Combustion[[#This Row],[Custom Emission Factors?]]="No", _xlfn.IFNA((VLOOKUP(Stationary_Combustion[[#This Row],[Fuel]], EF_Stationary_Combustion[], 5, FALSE)/IF(VLOOKUP(Stationary_Combustion[[#This Row],[Fuel]], EF_Stationary_Combustion[], 9,FALSE) ='S1-Stationary Combustion'!H32, 1, VLOOKUP(VLOOKUP(Stationary_Combustion[[#This Row],[Fuel]], EF_Stationary_Combustion[], 9,FALSE)&amp;"_to_"&amp;'S1-Stationary Combustion'!H32,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Combustion'!H32, 1, VLOOKUP(VLOOKUP(Stationary_Combustion[[#This Row],[Fuel]], Custom_EF[], 11,FALSE)&amp;"_to_"&amp;'S1-Stationary Combustion'!H32, Conversions!$B$52:$F$162, Conversions!$E$52, FALSE))*Stationary_Combustion[[#This Row],[Amount of fuel]]/1000), ""))</f>
        <v/>
      </c>
      <c r="L32" s="386" t="str">
        <f>IFERROR(IF(Parameters!$D$19="2014 IPCC Fifth Assessment", (I32*Data!$AJ$5)+(J32*Data!$AJ$6)+(K32*Data!$AJ$7), (I32*Data!$AI$5)+(J32*Data!$AI$6)+(K32*Data!$AI$7)), "")</f>
        <v/>
      </c>
      <c r="M32" s="386" t="str">
        <f>IF(Stationary_Combustion[[#This Row],[Custom Emission Factors?]]="No", _xlfn.IFNA((VLOOKUP(Stationary_Combustion[[#This Row],[Fuel]], EF_Stationary_Combustion[], 6, FALSE)/IF(VLOOKUP(Stationary_Combustion[[#This Row],[Fuel]], EF_Stationary_Combustion[], 9,FALSE) ='S1-Stationary Combustion'!H32, 1, VLOOKUP(VLOOKUP(Stationary_Combustion[[#This Row],[Fuel]], EF_Stationary_Combustion[], 9,FALSE)&amp;"_to_"&amp;'S1-Stationary Combustion'!H32,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Combustion'!H32, 1, VLOOKUP(VLOOKUP(Stationary_Combustion[[#This Row],[Fuel]], Custom_EF[], 10,FALSE)&amp;"_to_"&amp;'S1-Stationary Combustion'!H32, Conversions!$B$52:$F$162, Conversions!$E$52, FALSE))*Stationary_Combustion[[#This Row],[Amount of fuel]]/1000), ""))</f>
        <v/>
      </c>
      <c r="N32" s="388" t="str">
        <f>IF(Stationary_Combustion[[#This Row],[Custom Emission Factors?]]="No", _xlfn.IFNA(VLOOKUP(F32, EF_Stationary_Combustion[], IF(Parameters!$D$19="2014 IPCC Fifth Assessment", 'Emission Factors'!$I$9, 'Emission Factors'!$H$9), FALSE), ""), _xlfn.IFNA(VLOOKUP(Stationary_Combustion[[#This Row],[Fuel]], Custom_EF[], 9, FALSE), ""))</f>
        <v/>
      </c>
      <c r="O32" s="378" t="str">
        <f>IF(Stationary_Combustion[[#This Row],[EF (kgCO2e/unit)]]="", "", IF(Stationary_Combustion[[#This Row],[Custom Emission Factors?]]="Yes", VLOOKUP(Stationary_Combustion[[#This Row],[Fuel]], Custom_EF[], 4, FALSE), VLOOKUP(Stationary_Combustion[[#This Row],[Fuel]], EF_Stationary_Combustion[#All], 10, FALSE)))</f>
        <v/>
      </c>
    </row>
    <row r="33" spans="3:15" ht="15.75">
      <c r="C33" s="688"/>
      <c r="D33" s="689"/>
      <c r="E33" s="689"/>
      <c r="F33" s="689"/>
      <c r="G33" s="690"/>
      <c r="H33" s="689"/>
      <c r="I33" s="386" t="str">
        <f>IF(Stationary_Combustion[[#This Row],[Custom Emission Factors?]]="No", _xlfn.IFNA((VLOOKUP(Stationary_Combustion[[#This Row],[Fuel]], EF_Stationary_Combustion[], 3, FALSE)/IF(VLOOKUP(Stationary_Combustion[[#This Row],[Fuel]], EF_Stationary_Combustion[], 9,FALSE) ='S1-Stationary Combustion'!H33, 1, VLOOKUP(VLOOKUP(Stationary_Combustion[[#This Row],[Fuel]], EF_Stationary_Combustion[], 9,FALSE)&amp;"_to_"&amp;'S1-Stationary Combustion'!H33,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Combustion'!H33, 1, VLOOKUP(VLOOKUP(Stationary_Combustion[[#This Row],[Fuel]], Custom_EF[], 11,FALSE)&amp;"_to_"&amp;'S1-Stationary Combustion'!H33, Conversions!$B$52:$F$162, Conversions!$E$52, FALSE))*Stationary_Combustion[[#This Row],[Amount of fuel]]/1000), ""))</f>
        <v/>
      </c>
      <c r="J33" s="387" t="str">
        <f>IF(Stationary_Combustion[[#This Row],[Custom Emission Factors?]]="No", _xlfn.IFNA((VLOOKUP(Stationary_Combustion[[#This Row],[Fuel]], EF_Stationary_Combustion[], 4, FALSE)/IF(VLOOKUP(Stationary_Combustion[[#This Row],[Fuel]], EF_Stationary_Combustion[], 9,FALSE) ='S1-Stationary Combustion'!H33, 1, VLOOKUP(VLOOKUP(Stationary_Combustion[[#This Row],[Fuel]], EF_Stationary_Combustion[], 9,FALSE)&amp;"_to_"&amp;'S1-Stationary Combustion'!H33,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Combustion'!H33, 1, VLOOKUP(VLOOKUP(Stationary_Combustion[[#This Row],[Fuel]], Custom_EF[], 11,FALSE)&amp;"_to_"&amp;'S1-Stationary Combustion'!H33, Conversions!$B$52:$F$162, Conversions!$E$52, FALSE))*Stationary_Combustion[[#This Row],[Amount of fuel]]/1000), ""))</f>
        <v/>
      </c>
      <c r="K33" s="387" t="str">
        <f>IF(Stationary_Combustion[[#This Row],[Custom Emission Factors?]]="No", _xlfn.IFNA((VLOOKUP(Stationary_Combustion[[#This Row],[Fuel]], EF_Stationary_Combustion[], 5, FALSE)/IF(VLOOKUP(Stationary_Combustion[[#This Row],[Fuel]], EF_Stationary_Combustion[], 9,FALSE) ='S1-Stationary Combustion'!H33, 1, VLOOKUP(VLOOKUP(Stationary_Combustion[[#This Row],[Fuel]], EF_Stationary_Combustion[], 9,FALSE)&amp;"_to_"&amp;'S1-Stationary Combustion'!H33,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Combustion'!H33, 1, VLOOKUP(VLOOKUP(Stationary_Combustion[[#This Row],[Fuel]], Custom_EF[], 11,FALSE)&amp;"_to_"&amp;'S1-Stationary Combustion'!H33, Conversions!$B$52:$F$162, Conversions!$E$52, FALSE))*Stationary_Combustion[[#This Row],[Amount of fuel]]/1000), ""))</f>
        <v/>
      </c>
      <c r="L33" s="386" t="str">
        <f>IFERROR(IF(Parameters!$D$19="2014 IPCC Fifth Assessment", (I33*Data!$AJ$5)+(J33*Data!$AJ$6)+(K33*Data!$AJ$7), (I33*Data!$AI$5)+(J33*Data!$AI$6)+(K33*Data!$AI$7)), "")</f>
        <v/>
      </c>
      <c r="M33" s="386" t="str">
        <f>IF(Stationary_Combustion[[#This Row],[Custom Emission Factors?]]="No", _xlfn.IFNA((VLOOKUP(Stationary_Combustion[[#This Row],[Fuel]], EF_Stationary_Combustion[], 6, FALSE)/IF(VLOOKUP(Stationary_Combustion[[#This Row],[Fuel]], EF_Stationary_Combustion[], 9,FALSE) ='S1-Stationary Combustion'!H33, 1, VLOOKUP(VLOOKUP(Stationary_Combustion[[#This Row],[Fuel]], EF_Stationary_Combustion[], 9,FALSE)&amp;"_to_"&amp;'S1-Stationary Combustion'!H33,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Combustion'!H33, 1, VLOOKUP(VLOOKUP(Stationary_Combustion[[#This Row],[Fuel]], Custom_EF[], 10,FALSE)&amp;"_to_"&amp;'S1-Stationary Combustion'!H33, Conversions!$B$52:$F$162, Conversions!$E$52, FALSE))*Stationary_Combustion[[#This Row],[Amount of fuel]]/1000), ""))</f>
        <v/>
      </c>
      <c r="N33" s="388" t="str">
        <f>IF(Stationary_Combustion[[#This Row],[Custom Emission Factors?]]="No", _xlfn.IFNA(VLOOKUP(F33, EF_Stationary_Combustion[], IF(Parameters!$D$19="2014 IPCC Fifth Assessment", 'Emission Factors'!$I$9, 'Emission Factors'!$H$9), FALSE), ""), _xlfn.IFNA(VLOOKUP(Stationary_Combustion[[#This Row],[Fuel]], Custom_EF[], 9, FALSE), ""))</f>
        <v/>
      </c>
      <c r="O33" s="378" t="str">
        <f>IF(Stationary_Combustion[[#This Row],[EF (kgCO2e/unit)]]="", "", IF(Stationary_Combustion[[#This Row],[Custom Emission Factors?]]="Yes", VLOOKUP(Stationary_Combustion[[#This Row],[Fuel]], Custom_EF[], 4, FALSE), VLOOKUP(Stationary_Combustion[[#This Row],[Fuel]], EF_Stationary_Combustion[#All], 10, FALSE)))</f>
        <v/>
      </c>
    </row>
    <row r="34" spans="3:15" ht="15.75">
      <c r="C34" s="688"/>
      <c r="D34" s="689"/>
      <c r="E34" s="689"/>
      <c r="F34" s="689"/>
      <c r="G34" s="690"/>
      <c r="H34" s="689"/>
      <c r="I34" s="386" t="str">
        <f>IF(Stationary_Combustion[[#This Row],[Custom Emission Factors?]]="No", _xlfn.IFNA((VLOOKUP(Stationary_Combustion[[#This Row],[Fuel]], EF_Stationary_Combustion[], 3, FALSE)/IF(VLOOKUP(Stationary_Combustion[[#This Row],[Fuel]], EF_Stationary_Combustion[], 9,FALSE) ='S1-Stationary Combustion'!H34, 1, VLOOKUP(VLOOKUP(Stationary_Combustion[[#This Row],[Fuel]], EF_Stationary_Combustion[], 9,FALSE)&amp;"_to_"&amp;'S1-Stationary Combustion'!H34,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Combustion'!H34, 1, VLOOKUP(VLOOKUP(Stationary_Combustion[[#This Row],[Fuel]], Custom_EF[], 11,FALSE)&amp;"_to_"&amp;'S1-Stationary Combustion'!H34, Conversions!$B$52:$F$162, Conversions!$E$52, FALSE))*Stationary_Combustion[[#This Row],[Amount of fuel]]/1000), ""))</f>
        <v/>
      </c>
      <c r="J34" s="387" t="str">
        <f>IF(Stationary_Combustion[[#This Row],[Custom Emission Factors?]]="No", _xlfn.IFNA((VLOOKUP(Stationary_Combustion[[#This Row],[Fuel]], EF_Stationary_Combustion[], 4, FALSE)/IF(VLOOKUP(Stationary_Combustion[[#This Row],[Fuel]], EF_Stationary_Combustion[], 9,FALSE) ='S1-Stationary Combustion'!H34, 1, VLOOKUP(VLOOKUP(Stationary_Combustion[[#This Row],[Fuel]], EF_Stationary_Combustion[], 9,FALSE)&amp;"_to_"&amp;'S1-Stationary Combustion'!H34,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Combustion'!H34, 1, VLOOKUP(VLOOKUP(Stationary_Combustion[[#This Row],[Fuel]], Custom_EF[], 11,FALSE)&amp;"_to_"&amp;'S1-Stationary Combustion'!H34, Conversions!$B$52:$F$162, Conversions!$E$52, FALSE))*Stationary_Combustion[[#This Row],[Amount of fuel]]/1000), ""))</f>
        <v/>
      </c>
      <c r="K34" s="387" t="str">
        <f>IF(Stationary_Combustion[[#This Row],[Custom Emission Factors?]]="No", _xlfn.IFNA((VLOOKUP(Stationary_Combustion[[#This Row],[Fuel]], EF_Stationary_Combustion[], 5, FALSE)/IF(VLOOKUP(Stationary_Combustion[[#This Row],[Fuel]], EF_Stationary_Combustion[], 9,FALSE) ='S1-Stationary Combustion'!H34, 1, VLOOKUP(VLOOKUP(Stationary_Combustion[[#This Row],[Fuel]], EF_Stationary_Combustion[], 9,FALSE)&amp;"_to_"&amp;'S1-Stationary Combustion'!H34,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Combustion'!H34, 1, VLOOKUP(VLOOKUP(Stationary_Combustion[[#This Row],[Fuel]], Custom_EF[], 11,FALSE)&amp;"_to_"&amp;'S1-Stationary Combustion'!H34, Conversions!$B$52:$F$162, Conversions!$E$52, FALSE))*Stationary_Combustion[[#This Row],[Amount of fuel]]/1000), ""))</f>
        <v/>
      </c>
      <c r="L34" s="386" t="str">
        <f>IFERROR(IF(Parameters!$D$19="2014 IPCC Fifth Assessment", (I34*Data!$AJ$5)+(J34*Data!$AJ$6)+(K34*Data!$AJ$7), (I34*Data!$AI$5)+(J34*Data!$AI$6)+(K34*Data!$AI$7)), "")</f>
        <v/>
      </c>
      <c r="M34" s="386" t="str">
        <f>IF(Stationary_Combustion[[#This Row],[Custom Emission Factors?]]="No", _xlfn.IFNA((VLOOKUP(Stationary_Combustion[[#This Row],[Fuel]], EF_Stationary_Combustion[], 6, FALSE)/IF(VLOOKUP(Stationary_Combustion[[#This Row],[Fuel]], EF_Stationary_Combustion[], 9,FALSE) ='S1-Stationary Combustion'!H34, 1, VLOOKUP(VLOOKUP(Stationary_Combustion[[#This Row],[Fuel]], EF_Stationary_Combustion[], 9,FALSE)&amp;"_to_"&amp;'S1-Stationary Combustion'!H34,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Combustion'!H34, 1, VLOOKUP(VLOOKUP(Stationary_Combustion[[#This Row],[Fuel]], Custom_EF[], 10,FALSE)&amp;"_to_"&amp;'S1-Stationary Combustion'!H34, Conversions!$B$52:$F$162, Conversions!$E$52, FALSE))*Stationary_Combustion[[#This Row],[Amount of fuel]]/1000), ""))</f>
        <v/>
      </c>
      <c r="N34" s="388" t="str">
        <f>IF(Stationary_Combustion[[#This Row],[Custom Emission Factors?]]="No", _xlfn.IFNA(VLOOKUP(F34, EF_Stationary_Combustion[], IF(Parameters!$D$19="2014 IPCC Fifth Assessment", 'Emission Factors'!$I$9, 'Emission Factors'!$H$9), FALSE), ""), _xlfn.IFNA(VLOOKUP(Stationary_Combustion[[#This Row],[Fuel]], Custom_EF[], 9, FALSE), ""))</f>
        <v/>
      </c>
      <c r="O34" s="378" t="str">
        <f>IF(Stationary_Combustion[[#This Row],[EF (kgCO2e/unit)]]="", "", IF(Stationary_Combustion[[#This Row],[Custom Emission Factors?]]="Yes", VLOOKUP(Stationary_Combustion[[#This Row],[Fuel]], Custom_EF[], 4, FALSE), VLOOKUP(Stationary_Combustion[[#This Row],[Fuel]], EF_Stationary_Combustion[#All], 10, FALSE)))</f>
        <v/>
      </c>
    </row>
    <row r="35" spans="3:15" ht="15.75">
      <c r="C35" s="688"/>
      <c r="D35" s="689"/>
      <c r="E35" s="689"/>
      <c r="F35" s="689"/>
      <c r="G35" s="690"/>
      <c r="H35" s="689"/>
      <c r="I35" s="386" t="str">
        <f>IF(Stationary_Combustion[[#This Row],[Custom Emission Factors?]]="No", _xlfn.IFNA((VLOOKUP(Stationary_Combustion[[#This Row],[Fuel]], EF_Stationary_Combustion[], 3, FALSE)/IF(VLOOKUP(Stationary_Combustion[[#This Row],[Fuel]], EF_Stationary_Combustion[], 9,FALSE) ='S1-Stationary Combustion'!H35, 1, VLOOKUP(VLOOKUP(Stationary_Combustion[[#This Row],[Fuel]], EF_Stationary_Combustion[], 9,FALSE)&amp;"_to_"&amp;'S1-Stationary Combustion'!H35,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Combustion'!H35, 1, VLOOKUP(VLOOKUP(Stationary_Combustion[[#This Row],[Fuel]], Custom_EF[], 11,FALSE)&amp;"_to_"&amp;'S1-Stationary Combustion'!H35, Conversions!$B$52:$F$162, Conversions!$E$52, FALSE))*Stationary_Combustion[[#This Row],[Amount of fuel]]/1000), ""))</f>
        <v/>
      </c>
      <c r="J35" s="387" t="str">
        <f>IF(Stationary_Combustion[[#This Row],[Custom Emission Factors?]]="No", _xlfn.IFNA((VLOOKUP(Stationary_Combustion[[#This Row],[Fuel]], EF_Stationary_Combustion[], 4, FALSE)/IF(VLOOKUP(Stationary_Combustion[[#This Row],[Fuel]], EF_Stationary_Combustion[], 9,FALSE) ='S1-Stationary Combustion'!H35, 1, VLOOKUP(VLOOKUP(Stationary_Combustion[[#This Row],[Fuel]], EF_Stationary_Combustion[], 9,FALSE)&amp;"_to_"&amp;'S1-Stationary Combustion'!H35,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Combustion'!H35, 1, VLOOKUP(VLOOKUP(Stationary_Combustion[[#This Row],[Fuel]], Custom_EF[], 11,FALSE)&amp;"_to_"&amp;'S1-Stationary Combustion'!H35, Conversions!$B$52:$F$162, Conversions!$E$52, FALSE))*Stationary_Combustion[[#This Row],[Amount of fuel]]/1000), ""))</f>
        <v/>
      </c>
      <c r="K35" s="387" t="str">
        <f>IF(Stationary_Combustion[[#This Row],[Custom Emission Factors?]]="No", _xlfn.IFNA((VLOOKUP(Stationary_Combustion[[#This Row],[Fuel]], EF_Stationary_Combustion[], 5, FALSE)/IF(VLOOKUP(Stationary_Combustion[[#This Row],[Fuel]], EF_Stationary_Combustion[], 9,FALSE) ='S1-Stationary Combustion'!H35, 1, VLOOKUP(VLOOKUP(Stationary_Combustion[[#This Row],[Fuel]], EF_Stationary_Combustion[], 9,FALSE)&amp;"_to_"&amp;'S1-Stationary Combustion'!H35,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Combustion'!H35, 1, VLOOKUP(VLOOKUP(Stationary_Combustion[[#This Row],[Fuel]], Custom_EF[], 11,FALSE)&amp;"_to_"&amp;'S1-Stationary Combustion'!H35, Conversions!$B$52:$F$162, Conversions!$E$52, FALSE))*Stationary_Combustion[[#This Row],[Amount of fuel]]/1000), ""))</f>
        <v/>
      </c>
      <c r="L35" s="386" t="str">
        <f>IFERROR(IF(Parameters!$D$19="2014 IPCC Fifth Assessment", (I35*Data!$AJ$5)+(J35*Data!$AJ$6)+(K35*Data!$AJ$7), (I35*Data!$AI$5)+(J35*Data!$AI$6)+(K35*Data!$AI$7)), "")</f>
        <v/>
      </c>
      <c r="M35" s="386" t="str">
        <f>IF(Stationary_Combustion[[#This Row],[Custom Emission Factors?]]="No", _xlfn.IFNA((VLOOKUP(Stationary_Combustion[[#This Row],[Fuel]], EF_Stationary_Combustion[], 6, FALSE)/IF(VLOOKUP(Stationary_Combustion[[#This Row],[Fuel]], EF_Stationary_Combustion[], 9,FALSE) ='S1-Stationary Combustion'!H35, 1, VLOOKUP(VLOOKUP(Stationary_Combustion[[#This Row],[Fuel]], EF_Stationary_Combustion[], 9,FALSE)&amp;"_to_"&amp;'S1-Stationary Combustion'!H35,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Combustion'!H35, 1, VLOOKUP(VLOOKUP(Stationary_Combustion[[#This Row],[Fuel]], Custom_EF[], 10,FALSE)&amp;"_to_"&amp;'S1-Stationary Combustion'!H35, Conversions!$B$52:$F$162, Conversions!$E$52, FALSE))*Stationary_Combustion[[#This Row],[Amount of fuel]]/1000), ""))</f>
        <v/>
      </c>
      <c r="N35" s="388" t="str">
        <f>IF(Stationary_Combustion[[#This Row],[Custom Emission Factors?]]="No", _xlfn.IFNA(VLOOKUP(F35, EF_Stationary_Combustion[], IF(Parameters!$D$19="2014 IPCC Fifth Assessment", 'Emission Factors'!$I$9, 'Emission Factors'!$H$9), FALSE), ""), _xlfn.IFNA(VLOOKUP(Stationary_Combustion[[#This Row],[Fuel]], Custom_EF[], 9, FALSE), ""))</f>
        <v/>
      </c>
      <c r="O35" s="378" t="str">
        <f>IF(Stationary_Combustion[[#This Row],[EF (kgCO2e/unit)]]="", "", IF(Stationary_Combustion[[#This Row],[Custom Emission Factors?]]="Yes", VLOOKUP(Stationary_Combustion[[#This Row],[Fuel]], Custom_EF[], 4, FALSE), VLOOKUP(Stationary_Combustion[[#This Row],[Fuel]], EF_Stationary_Combustion[#All], 10, FALSE)))</f>
        <v/>
      </c>
    </row>
    <row r="36" spans="3:15" ht="15.75">
      <c r="C36" s="688"/>
      <c r="D36" s="689"/>
      <c r="E36" s="689"/>
      <c r="F36" s="689"/>
      <c r="G36" s="690"/>
      <c r="H36" s="689"/>
      <c r="I36" s="386" t="str">
        <f>IF(Stationary_Combustion[[#This Row],[Custom Emission Factors?]]="No", _xlfn.IFNA((VLOOKUP(Stationary_Combustion[[#This Row],[Fuel]], EF_Stationary_Combustion[], 3, FALSE)/IF(VLOOKUP(Stationary_Combustion[[#This Row],[Fuel]], EF_Stationary_Combustion[], 9,FALSE) ='S1-Stationary Combustion'!H36, 1, VLOOKUP(VLOOKUP(Stationary_Combustion[[#This Row],[Fuel]], EF_Stationary_Combustion[], 9,FALSE)&amp;"_to_"&amp;'S1-Stationary Combustion'!H36,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Combustion'!H36, 1, VLOOKUP(VLOOKUP(Stationary_Combustion[[#This Row],[Fuel]], Custom_EF[], 11,FALSE)&amp;"_to_"&amp;'S1-Stationary Combustion'!H36, Conversions!$B$52:$F$162, Conversions!$E$52, FALSE))*Stationary_Combustion[[#This Row],[Amount of fuel]]/1000), ""))</f>
        <v/>
      </c>
      <c r="J36" s="387" t="str">
        <f>IF(Stationary_Combustion[[#This Row],[Custom Emission Factors?]]="No", _xlfn.IFNA((VLOOKUP(Stationary_Combustion[[#This Row],[Fuel]], EF_Stationary_Combustion[], 4, FALSE)/IF(VLOOKUP(Stationary_Combustion[[#This Row],[Fuel]], EF_Stationary_Combustion[], 9,FALSE) ='S1-Stationary Combustion'!H36, 1, VLOOKUP(VLOOKUP(Stationary_Combustion[[#This Row],[Fuel]], EF_Stationary_Combustion[], 9,FALSE)&amp;"_to_"&amp;'S1-Stationary Combustion'!H36,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Combustion'!H36, 1, VLOOKUP(VLOOKUP(Stationary_Combustion[[#This Row],[Fuel]], Custom_EF[], 11,FALSE)&amp;"_to_"&amp;'S1-Stationary Combustion'!H36, Conversions!$B$52:$F$162, Conversions!$E$52, FALSE))*Stationary_Combustion[[#This Row],[Amount of fuel]]/1000), ""))</f>
        <v/>
      </c>
      <c r="K36" s="387" t="str">
        <f>IF(Stationary_Combustion[[#This Row],[Custom Emission Factors?]]="No", _xlfn.IFNA((VLOOKUP(Stationary_Combustion[[#This Row],[Fuel]], EF_Stationary_Combustion[], 5, FALSE)/IF(VLOOKUP(Stationary_Combustion[[#This Row],[Fuel]], EF_Stationary_Combustion[], 9,FALSE) ='S1-Stationary Combustion'!H36, 1, VLOOKUP(VLOOKUP(Stationary_Combustion[[#This Row],[Fuel]], EF_Stationary_Combustion[], 9,FALSE)&amp;"_to_"&amp;'S1-Stationary Combustion'!H36,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Combustion'!H36, 1, VLOOKUP(VLOOKUP(Stationary_Combustion[[#This Row],[Fuel]], Custom_EF[], 11,FALSE)&amp;"_to_"&amp;'S1-Stationary Combustion'!H36, Conversions!$B$52:$F$162, Conversions!$E$52, FALSE))*Stationary_Combustion[[#This Row],[Amount of fuel]]/1000), ""))</f>
        <v/>
      </c>
      <c r="L36" s="386" t="str">
        <f>IFERROR(IF(Parameters!$D$19="2014 IPCC Fifth Assessment", (I36*Data!$AJ$5)+(J36*Data!$AJ$6)+(K36*Data!$AJ$7), (I36*Data!$AI$5)+(J36*Data!$AI$6)+(K36*Data!$AI$7)), "")</f>
        <v/>
      </c>
      <c r="M36" s="386" t="str">
        <f>IF(Stationary_Combustion[[#This Row],[Custom Emission Factors?]]="No", _xlfn.IFNA((VLOOKUP(Stationary_Combustion[[#This Row],[Fuel]], EF_Stationary_Combustion[], 6, FALSE)/IF(VLOOKUP(Stationary_Combustion[[#This Row],[Fuel]], EF_Stationary_Combustion[], 9,FALSE) ='S1-Stationary Combustion'!H36, 1, VLOOKUP(VLOOKUP(Stationary_Combustion[[#This Row],[Fuel]], EF_Stationary_Combustion[], 9,FALSE)&amp;"_to_"&amp;'S1-Stationary Combustion'!H36,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Combustion'!H36, 1, VLOOKUP(VLOOKUP(Stationary_Combustion[[#This Row],[Fuel]], Custom_EF[], 10,FALSE)&amp;"_to_"&amp;'S1-Stationary Combustion'!H36, Conversions!$B$52:$F$162, Conversions!$E$52, FALSE))*Stationary_Combustion[[#This Row],[Amount of fuel]]/1000), ""))</f>
        <v/>
      </c>
      <c r="N36" s="388" t="str">
        <f>IF(Stationary_Combustion[[#This Row],[Custom Emission Factors?]]="No", _xlfn.IFNA(VLOOKUP(F36, EF_Stationary_Combustion[], IF(Parameters!$D$19="2014 IPCC Fifth Assessment", 'Emission Factors'!$I$9, 'Emission Factors'!$H$9), FALSE), ""), _xlfn.IFNA(VLOOKUP(Stationary_Combustion[[#This Row],[Fuel]], Custom_EF[], 9, FALSE), ""))</f>
        <v/>
      </c>
      <c r="O36" s="378" t="str">
        <f>IF(Stationary_Combustion[[#This Row],[EF (kgCO2e/unit)]]="", "", IF(Stationary_Combustion[[#This Row],[Custom Emission Factors?]]="Yes", VLOOKUP(Stationary_Combustion[[#This Row],[Fuel]], Custom_EF[], 4, FALSE), VLOOKUP(Stationary_Combustion[[#This Row],[Fuel]], EF_Stationary_Combustion[#All], 10, FALSE)))</f>
        <v/>
      </c>
    </row>
    <row r="37" spans="3:15" ht="15.75">
      <c r="C37" s="688"/>
      <c r="D37" s="689"/>
      <c r="E37" s="689"/>
      <c r="F37" s="689"/>
      <c r="G37" s="690"/>
      <c r="H37" s="689"/>
      <c r="I37" s="386" t="str">
        <f>IF(Stationary_Combustion[[#This Row],[Custom Emission Factors?]]="No", _xlfn.IFNA((VLOOKUP(Stationary_Combustion[[#This Row],[Fuel]], EF_Stationary_Combustion[], 3, FALSE)/IF(VLOOKUP(Stationary_Combustion[[#This Row],[Fuel]], EF_Stationary_Combustion[], 9,FALSE) ='S1-Stationary Combustion'!H37, 1, VLOOKUP(VLOOKUP(Stationary_Combustion[[#This Row],[Fuel]], EF_Stationary_Combustion[], 9,FALSE)&amp;"_to_"&amp;'S1-Stationary Combustion'!H37,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Combustion'!H37, 1, VLOOKUP(VLOOKUP(Stationary_Combustion[[#This Row],[Fuel]], Custom_EF[], 11,FALSE)&amp;"_to_"&amp;'S1-Stationary Combustion'!H37, Conversions!$B$52:$F$162, Conversions!$E$52, FALSE))*Stationary_Combustion[[#This Row],[Amount of fuel]]/1000), ""))</f>
        <v/>
      </c>
      <c r="J37" s="387" t="str">
        <f>IF(Stationary_Combustion[[#This Row],[Custom Emission Factors?]]="No", _xlfn.IFNA((VLOOKUP(Stationary_Combustion[[#This Row],[Fuel]], EF_Stationary_Combustion[], 4, FALSE)/IF(VLOOKUP(Stationary_Combustion[[#This Row],[Fuel]], EF_Stationary_Combustion[], 9,FALSE) ='S1-Stationary Combustion'!H37, 1, VLOOKUP(VLOOKUP(Stationary_Combustion[[#This Row],[Fuel]], EF_Stationary_Combustion[], 9,FALSE)&amp;"_to_"&amp;'S1-Stationary Combustion'!H37,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Combustion'!H37, 1, VLOOKUP(VLOOKUP(Stationary_Combustion[[#This Row],[Fuel]], Custom_EF[], 11,FALSE)&amp;"_to_"&amp;'S1-Stationary Combustion'!H37, Conversions!$B$52:$F$162, Conversions!$E$52, FALSE))*Stationary_Combustion[[#This Row],[Amount of fuel]]/1000), ""))</f>
        <v/>
      </c>
      <c r="K37" s="387" t="str">
        <f>IF(Stationary_Combustion[[#This Row],[Custom Emission Factors?]]="No", _xlfn.IFNA((VLOOKUP(Stationary_Combustion[[#This Row],[Fuel]], EF_Stationary_Combustion[], 5, FALSE)/IF(VLOOKUP(Stationary_Combustion[[#This Row],[Fuel]], EF_Stationary_Combustion[], 9,FALSE) ='S1-Stationary Combustion'!H37, 1, VLOOKUP(VLOOKUP(Stationary_Combustion[[#This Row],[Fuel]], EF_Stationary_Combustion[], 9,FALSE)&amp;"_to_"&amp;'S1-Stationary Combustion'!H37,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Combustion'!H37, 1, VLOOKUP(VLOOKUP(Stationary_Combustion[[#This Row],[Fuel]], Custom_EF[], 11,FALSE)&amp;"_to_"&amp;'S1-Stationary Combustion'!H37, Conversions!$B$52:$F$162, Conversions!$E$52, FALSE))*Stationary_Combustion[[#This Row],[Amount of fuel]]/1000), ""))</f>
        <v/>
      </c>
      <c r="L37" s="386" t="str">
        <f>IFERROR(IF(Parameters!$D$19="2014 IPCC Fifth Assessment", (I37*Data!$AJ$5)+(J37*Data!$AJ$6)+(K37*Data!$AJ$7), (I37*Data!$AI$5)+(J37*Data!$AI$6)+(K37*Data!$AI$7)), "")</f>
        <v/>
      </c>
      <c r="M37" s="386" t="str">
        <f>IF(Stationary_Combustion[[#This Row],[Custom Emission Factors?]]="No", _xlfn.IFNA((VLOOKUP(Stationary_Combustion[[#This Row],[Fuel]], EF_Stationary_Combustion[], 6, FALSE)/IF(VLOOKUP(Stationary_Combustion[[#This Row],[Fuel]], EF_Stationary_Combustion[], 9,FALSE) ='S1-Stationary Combustion'!H37, 1, VLOOKUP(VLOOKUP(Stationary_Combustion[[#This Row],[Fuel]], EF_Stationary_Combustion[], 9,FALSE)&amp;"_to_"&amp;'S1-Stationary Combustion'!H37,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Combustion'!H37, 1, VLOOKUP(VLOOKUP(Stationary_Combustion[[#This Row],[Fuel]], Custom_EF[], 10,FALSE)&amp;"_to_"&amp;'S1-Stationary Combustion'!H37, Conversions!$B$52:$F$162, Conversions!$E$52, FALSE))*Stationary_Combustion[[#This Row],[Amount of fuel]]/1000), ""))</f>
        <v/>
      </c>
      <c r="N37" s="388" t="str">
        <f>IF(Stationary_Combustion[[#This Row],[Custom Emission Factors?]]="No", _xlfn.IFNA(VLOOKUP(F37, EF_Stationary_Combustion[], IF(Parameters!$D$19="2014 IPCC Fifth Assessment", 'Emission Factors'!$I$9, 'Emission Factors'!$H$9), FALSE), ""), _xlfn.IFNA(VLOOKUP(Stationary_Combustion[[#This Row],[Fuel]], Custom_EF[], 9, FALSE), ""))</f>
        <v/>
      </c>
      <c r="O37" s="378" t="str">
        <f>IF(Stationary_Combustion[[#This Row],[EF (kgCO2e/unit)]]="", "", IF(Stationary_Combustion[[#This Row],[Custom Emission Factors?]]="Yes", VLOOKUP(Stationary_Combustion[[#This Row],[Fuel]], Custom_EF[], 4, FALSE), VLOOKUP(Stationary_Combustion[[#This Row],[Fuel]], EF_Stationary_Combustion[#All], 10, FALSE)))</f>
        <v/>
      </c>
    </row>
    <row r="38" spans="3:15" ht="15.75">
      <c r="C38" s="688"/>
      <c r="D38" s="689"/>
      <c r="E38" s="689"/>
      <c r="F38" s="689"/>
      <c r="G38" s="690"/>
      <c r="H38" s="689"/>
      <c r="I38" s="386" t="str">
        <f>IF(Stationary_Combustion[[#This Row],[Custom Emission Factors?]]="No", _xlfn.IFNA((VLOOKUP(Stationary_Combustion[[#This Row],[Fuel]], EF_Stationary_Combustion[], 3, FALSE)/IF(VLOOKUP(Stationary_Combustion[[#This Row],[Fuel]], EF_Stationary_Combustion[], 9,FALSE) ='S1-Stationary Combustion'!H38, 1, VLOOKUP(VLOOKUP(Stationary_Combustion[[#This Row],[Fuel]], EF_Stationary_Combustion[], 9,FALSE)&amp;"_to_"&amp;'S1-Stationary Combustion'!H38,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Combustion'!H38, 1, VLOOKUP(VLOOKUP(Stationary_Combustion[[#This Row],[Fuel]], Custom_EF[], 11,FALSE)&amp;"_to_"&amp;'S1-Stationary Combustion'!H38, Conversions!$B$52:$F$162, Conversions!$E$52, FALSE))*Stationary_Combustion[[#This Row],[Amount of fuel]]/1000), ""))</f>
        <v/>
      </c>
      <c r="J38" s="387" t="str">
        <f>IF(Stationary_Combustion[[#This Row],[Custom Emission Factors?]]="No", _xlfn.IFNA((VLOOKUP(Stationary_Combustion[[#This Row],[Fuel]], EF_Stationary_Combustion[], 4, FALSE)/IF(VLOOKUP(Stationary_Combustion[[#This Row],[Fuel]], EF_Stationary_Combustion[], 9,FALSE) ='S1-Stationary Combustion'!H38, 1, VLOOKUP(VLOOKUP(Stationary_Combustion[[#This Row],[Fuel]], EF_Stationary_Combustion[], 9,FALSE)&amp;"_to_"&amp;'S1-Stationary Combustion'!H38,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Combustion'!H38, 1, VLOOKUP(VLOOKUP(Stationary_Combustion[[#This Row],[Fuel]], Custom_EF[], 11,FALSE)&amp;"_to_"&amp;'S1-Stationary Combustion'!H38, Conversions!$B$52:$F$162, Conversions!$E$52, FALSE))*Stationary_Combustion[[#This Row],[Amount of fuel]]/1000), ""))</f>
        <v/>
      </c>
      <c r="K38" s="387" t="str">
        <f>IF(Stationary_Combustion[[#This Row],[Custom Emission Factors?]]="No", _xlfn.IFNA((VLOOKUP(Stationary_Combustion[[#This Row],[Fuel]], EF_Stationary_Combustion[], 5, FALSE)/IF(VLOOKUP(Stationary_Combustion[[#This Row],[Fuel]], EF_Stationary_Combustion[], 9,FALSE) ='S1-Stationary Combustion'!H38, 1, VLOOKUP(VLOOKUP(Stationary_Combustion[[#This Row],[Fuel]], EF_Stationary_Combustion[], 9,FALSE)&amp;"_to_"&amp;'S1-Stationary Combustion'!H38,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Combustion'!H38, 1, VLOOKUP(VLOOKUP(Stationary_Combustion[[#This Row],[Fuel]], Custom_EF[], 11,FALSE)&amp;"_to_"&amp;'S1-Stationary Combustion'!H38, Conversions!$B$52:$F$162, Conversions!$E$52, FALSE))*Stationary_Combustion[[#This Row],[Amount of fuel]]/1000), ""))</f>
        <v/>
      </c>
      <c r="L38" s="386" t="str">
        <f>IFERROR(IF(Parameters!$D$19="2014 IPCC Fifth Assessment", (I38*Data!$AJ$5)+(J38*Data!$AJ$6)+(K38*Data!$AJ$7), (I38*Data!$AI$5)+(J38*Data!$AI$6)+(K38*Data!$AI$7)), "")</f>
        <v/>
      </c>
      <c r="M38" s="386" t="str">
        <f>IF(Stationary_Combustion[[#This Row],[Custom Emission Factors?]]="No", _xlfn.IFNA((VLOOKUP(Stationary_Combustion[[#This Row],[Fuel]], EF_Stationary_Combustion[], 6, FALSE)/IF(VLOOKUP(Stationary_Combustion[[#This Row],[Fuel]], EF_Stationary_Combustion[], 9,FALSE) ='S1-Stationary Combustion'!H38, 1, VLOOKUP(VLOOKUP(Stationary_Combustion[[#This Row],[Fuel]], EF_Stationary_Combustion[], 9,FALSE)&amp;"_to_"&amp;'S1-Stationary Combustion'!H38,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Combustion'!H38, 1, VLOOKUP(VLOOKUP(Stationary_Combustion[[#This Row],[Fuel]], Custom_EF[], 10,FALSE)&amp;"_to_"&amp;'S1-Stationary Combustion'!H38, Conversions!$B$52:$F$162, Conversions!$E$52, FALSE))*Stationary_Combustion[[#This Row],[Amount of fuel]]/1000), ""))</f>
        <v/>
      </c>
      <c r="N38" s="388" t="str">
        <f>IF(Stationary_Combustion[[#This Row],[Custom Emission Factors?]]="No", _xlfn.IFNA(VLOOKUP(F38, EF_Stationary_Combustion[], IF(Parameters!$D$19="2014 IPCC Fifth Assessment", 'Emission Factors'!$I$9, 'Emission Factors'!$H$9), FALSE), ""), _xlfn.IFNA(VLOOKUP(Stationary_Combustion[[#This Row],[Fuel]], Custom_EF[], 9, FALSE), ""))</f>
        <v/>
      </c>
      <c r="O38" s="378" t="str">
        <f>IF(Stationary_Combustion[[#This Row],[EF (kgCO2e/unit)]]="", "", IF(Stationary_Combustion[[#This Row],[Custom Emission Factors?]]="Yes", VLOOKUP(Stationary_Combustion[[#This Row],[Fuel]], Custom_EF[], 4, FALSE), VLOOKUP(Stationary_Combustion[[#This Row],[Fuel]], EF_Stationary_Combustion[#All], 10, FALSE)))</f>
        <v/>
      </c>
    </row>
    <row r="39" spans="3:15" ht="15.75">
      <c r="C39" s="688"/>
      <c r="D39" s="689"/>
      <c r="E39" s="689"/>
      <c r="F39" s="689"/>
      <c r="G39" s="690"/>
      <c r="H39" s="689"/>
      <c r="I39" s="386" t="str">
        <f>IF(Stationary_Combustion[[#This Row],[Custom Emission Factors?]]="No", _xlfn.IFNA((VLOOKUP(Stationary_Combustion[[#This Row],[Fuel]], EF_Stationary_Combustion[], 3, FALSE)/IF(VLOOKUP(Stationary_Combustion[[#This Row],[Fuel]], EF_Stationary_Combustion[], 9,FALSE) ='S1-Stationary Combustion'!H39, 1, VLOOKUP(VLOOKUP(Stationary_Combustion[[#This Row],[Fuel]], EF_Stationary_Combustion[], 9,FALSE)&amp;"_to_"&amp;'S1-Stationary Combustion'!H39,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Combustion'!H39, 1, VLOOKUP(VLOOKUP(Stationary_Combustion[[#This Row],[Fuel]], Custom_EF[], 11,FALSE)&amp;"_to_"&amp;'S1-Stationary Combustion'!H39, Conversions!$B$52:$F$162, Conversions!$E$52, FALSE))*Stationary_Combustion[[#This Row],[Amount of fuel]]/1000), ""))</f>
        <v/>
      </c>
      <c r="J39" s="387" t="str">
        <f>IF(Stationary_Combustion[[#This Row],[Custom Emission Factors?]]="No", _xlfn.IFNA((VLOOKUP(Stationary_Combustion[[#This Row],[Fuel]], EF_Stationary_Combustion[], 4, FALSE)/IF(VLOOKUP(Stationary_Combustion[[#This Row],[Fuel]], EF_Stationary_Combustion[], 9,FALSE) ='S1-Stationary Combustion'!H39, 1, VLOOKUP(VLOOKUP(Stationary_Combustion[[#This Row],[Fuel]], EF_Stationary_Combustion[], 9,FALSE)&amp;"_to_"&amp;'S1-Stationary Combustion'!H39,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Combustion'!H39, 1, VLOOKUP(VLOOKUP(Stationary_Combustion[[#This Row],[Fuel]], Custom_EF[], 11,FALSE)&amp;"_to_"&amp;'S1-Stationary Combustion'!H39, Conversions!$B$52:$F$162, Conversions!$E$52, FALSE))*Stationary_Combustion[[#This Row],[Amount of fuel]]/1000), ""))</f>
        <v/>
      </c>
      <c r="K39" s="387" t="str">
        <f>IF(Stationary_Combustion[[#This Row],[Custom Emission Factors?]]="No", _xlfn.IFNA((VLOOKUP(Stationary_Combustion[[#This Row],[Fuel]], EF_Stationary_Combustion[], 5, FALSE)/IF(VLOOKUP(Stationary_Combustion[[#This Row],[Fuel]], EF_Stationary_Combustion[], 9,FALSE) ='S1-Stationary Combustion'!H39, 1, VLOOKUP(VLOOKUP(Stationary_Combustion[[#This Row],[Fuel]], EF_Stationary_Combustion[], 9,FALSE)&amp;"_to_"&amp;'S1-Stationary Combustion'!H39,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Combustion'!H39, 1, VLOOKUP(VLOOKUP(Stationary_Combustion[[#This Row],[Fuel]], Custom_EF[], 11,FALSE)&amp;"_to_"&amp;'S1-Stationary Combustion'!H39, Conversions!$B$52:$F$162, Conversions!$E$52, FALSE))*Stationary_Combustion[[#This Row],[Amount of fuel]]/1000), ""))</f>
        <v/>
      </c>
      <c r="L39" s="386" t="str">
        <f>IFERROR(IF(Parameters!$D$19="2014 IPCC Fifth Assessment", (I39*Data!$AJ$5)+(J39*Data!$AJ$6)+(K39*Data!$AJ$7), (I39*Data!$AI$5)+(J39*Data!$AI$6)+(K39*Data!$AI$7)), "")</f>
        <v/>
      </c>
      <c r="M39" s="386" t="str">
        <f>IF(Stationary_Combustion[[#This Row],[Custom Emission Factors?]]="No", _xlfn.IFNA((VLOOKUP(Stationary_Combustion[[#This Row],[Fuel]], EF_Stationary_Combustion[], 6, FALSE)/IF(VLOOKUP(Stationary_Combustion[[#This Row],[Fuel]], EF_Stationary_Combustion[], 9,FALSE) ='S1-Stationary Combustion'!H39, 1, VLOOKUP(VLOOKUP(Stationary_Combustion[[#This Row],[Fuel]], EF_Stationary_Combustion[], 9,FALSE)&amp;"_to_"&amp;'S1-Stationary Combustion'!H39,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Combustion'!H39, 1, VLOOKUP(VLOOKUP(Stationary_Combustion[[#This Row],[Fuel]], Custom_EF[], 10,FALSE)&amp;"_to_"&amp;'S1-Stationary Combustion'!H39, Conversions!$B$52:$F$162, Conversions!$E$52, FALSE))*Stationary_Combustion[[#This Row],[Amount of fuel]]/1000), ""))</f>
        <v/>
      </c>
      <c r="N39" s="388" t="str">
        <f>IF(Stationary_Combustion[[#This Row],[Custom Emission Factors?]]="No", _xlfn.IFNA(VLOOKUP(F39, EF_Stationary_Combustion[], IF(Parameters!$D$19="2014 IPCC Fifth Assessment", 'Emission Factors'!$I$9, 'Emission Factors'!$H$9), FALSE), ""), _xlfn.IFNA(VLOOKUP(Stationary_Combustion[[#This Row],[Fuel]], Custom_EF[], 9, FALSE), ""))</f>
        <v/>
      </c>
      <c r="O39" s="378" t="str">
        <f>IF(Stationary_Combustion[[#This Row],[EF (kgCO2e/unit)]]="", "", IF(Stationary_Combustion[[#This Row],[Custom Emission Factors?]]="Yes", VLOOKUP(Stationary_Combustion[[#This Row],[Fuel]], Custom_EF[], 4, FALSE), VLOOKUP(Stationary_Combustion[[#This Row],[Fuel]], EF_Stationary_Combustion[#All], 10, FALSE)))</f>
        <v/>
      </c>
    </row>
    <row r="40" spans="3:15" ht="15.75">
      <c r="C40" s="688"/>
      <c r="D40" s="689"/>
      <c r="E40" s="689"/>
      <c r="F40" s="689"/>
      <c r="G40" s="690"/>
      <c r="H40" s="689"/>
      <c r="I40" s="386" t="str">
        <f>IF(Stationary_Combustion[[#This Row],[Custom Emission Factors?]]="No", _xlfn.IFNA((VLOOKUP(Stationary_Combustion[[#This Row],[Fuel]], EF_Stationary_Combustion[], 3, FALSE)/IF(VLOOKUP(Stationary_Combustion[[#This Row],[Fuel]], EF_Stationary_Combustion[], 9,FALSE) ='S1-Stationary Combustion'!H40, 1, VLOOKUP(VLOOKUP(Stationary_Combustion[[#This Row],[Fuel]], EF_Stationary_Combustion[], 9,FALSE)&amp;"_to_"&amp;'S1-Stationary Combustion'!H40,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Combustion'!H40, 1, VLOOKUP(VLOOKUP(Stationary_Combustion[[#This Row],[Fuel]], Custom_EF[], 11,FALSE)&amp;"_to_"&amp;'S1-Stationary Combustion'!H40, Conversions!$B$52:$F$162, Conversions!$E$52, FALSE))*Stationary_Combustion[[#This Row],[Amount of fuel]]/1000), ""))</f>
        <v/>
      </c>
      <c r="J40" s="387" t="str">
        <f>IF(Stationary_Combustion[[#This Row],[Custom Emission Factors?]]="No", _xlfn.IFNA((VLOOKUP(Stationary_Combustion[[#This Row],[Fuel]], EF_Stationary_Combustion[], 4, FALSE)/IF(VLOOKUP(Stationary_Combustion[[#This Row],[Fuel]], EF_Stationary_Combustion[], 9,FALSE) ='S1-Stationary Combustion'!H40, 1, VLOOKUP(VLOOKUP(Stationary_Combustion[[#This Row],[Fuel]], EF_Stationary_Combustion[], 9,FALSE)&amp;"_to_"&amp;'S1-Stationary Combustion'!H40,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Combustion'!H40, 1, VLOOKUP(VLOOKUP(Stationary_Combustion[[#This Row],[Fuel]], Custom_EF[], 11,FALSE)&amp;"_to_"&amp;'S1-Stationary Combustion'!H40, Conversions!$B$52:$F$162, Conversions!$E$52, FALSE))*Stationary_Combustion[[#This Row],[Amount of fuel]]/1000), ""))</f>
        <v/>
      </c>
      <c r="K40" s="387" t="str">
        <f>IF(Stationary_Combustion[[#This Row],[Custom Emission Factors?]]="No", _xlfn.IFNA((VLOOKUP(Stationary_Combustion[[#This Row],[Fuel]], EF_Stationary_Combustion[], 5, FALSE)/IF(VLOOKUP(Stationary_Combustion[[#This Row],[Fuel]], EF_Stationary_Combustion[], 9,FALSE) ='S1-Stationary Combustion'!H40, 1, VLOOKUP(VLOOKUP(Stationary_Combustion[[#This Row],[Fuel]], EF_Stationary_Combustion[], 9,FALSE)&amp;"_to_"&amp;'S1-Stationary Combustion'!H40,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Combustion'!H40, 1, VLOOKUP(VLOOKUP(Stationary_Combustion[[#This Row],[Fuel]], Custom_EF[], 11,FALSE)&amp;"_to_"&amp;'S1-Stationary Combustion'!H40, Conversions!$B$52:$F$162, Conversions!$E$52, FALSE))*Stationary_Combustion[[#This Row],[Amount of fuel]]/1000), ""))</f>
        <v/>
      </c>
      <c r="L40" s="386" t="str">
        <f>IFERROR(IF(Parameters!$D$19="2014 IPCC Fifth Assessment", (I40*Data!$AJ$5)+(J40*Data!$AJ$6)+(K40*Data!$AJ$7), (I40*Data!$AI$5)+(J40*Data!$AI$6)+(K40*Data!$AI$7)), "")</f>
        <v/>
      </c>
      <c r="M40" s="386" t="str">
        <f>IF(Stationary_Combustion[[#This Row],[Custom Emission Factors?]]="No", _xlfn.IFNA((VLOOKUP(Stationary_Combustion[[#This Row],[Fuel]], EF_Stationary_Combustion[], 6, FALSE)/IF(VLOOKUP(Stationary_Combustion[[#This Row],[Fuel]], EF_Stationary_Combustion[], 9,FALSE) ='S1-Stationary Combustion'!H40, 1, VLOOKUP(VLOOKUP(Stationary_Combustion[[#This Row],[Fuel]], EF_Stationary_Combustion[], 9,FALSE)&amp;"_to_"&amp;'S1-Stationary Combustion'!H40,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Combustion'!H40, 1, VLOOKUP(VLOOKUP(Stationary_Combustion[[#This Row],[Fuel]], Custom_EF[], 10,FALSE)&amp;"_to_"&amp;'S1-Stationary Combustion'!H40, Conversions!$B$52:$F$162, Conversions!$E$52, FALSE))*Stationary_Combustion[[#This Row],[Amount of fuel]]/1000), ""))</f>
        <v/>
      </c>
      <c r="N40" s="388" t="str">
        <f>IF(Stationary_Combustion[[#This Row],[Custom Emission Factors?]]="No", _xlfn.IFNA(VLOOKUP(F40, EF_Stationary_Combustion[], IF(Parameters!$D$19="2014 IPCC Fifth Assessment", 'Emission Factors'!$I$9, 'Emission Factors'!$H$9), FALSE), ""), _xlfn.IFNA(VLOOKUP(Stationary_Combustion[[#This Row],[Fuel]], Custom_EF[], 9, FALSE), ""))</f>
        <v/>
      </c>
      <c r="O40" s="378" t="str">
        <f>IF(Stationary_Combustion[[#This Row],[EF (kgCO2e/unit)]]="", "", IF(Stationary_Combustion[[#This Row],[Custom Emission Factors?]]="Yes", VLOOKUP(Stationary_Combustion[[#This Row],[Fuel]], Custom_EF[], 4, FALSE), VLOOKUP(Stationary_Combustion[[#This Row],[Fuel]], EF_Stationary_Combustion[#All], 10, FALSE)))</f>
        <v/>
      </c>
    </row>
    <row r="41" spans="3:15" ht="15.75">
      <c r="C41" s="688"/>
      <c r="D41" s="689"/>
      <c r="E41" s="689"/>
      <c r="F41" s="689"/>
      <c r="G41" s="690"/>
      <c r="H41" s="689"/>
      <c r="I41" s="386" t="str">
        <f>IF(Stationary_Combustion[[#This Row],[Custom Emission Factors?]]="No", _xlfn.IFNA((VLOOKUP(Stationary_Combustion[[#This Row],[Fuel]], EF_Stationary_Combustion[], 3, FALSE)/IF(VLOOKUP(Stationary_Combustion[[#This Row],[Fuel]], EF_Stationary_Combustion[], 9,FALSE) ='S1-Stationary Combustion'!H41, 1, VLOOKUP(VLOOKUP(Stationary_Combustion[[#This Row],[Fuel]], EF_Stationary_Combustion[], 9,FALSE)&amp;"_to_"&amp;'S1-Stationary Combustion'!H41,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Combustion'!H41, 1, VLOOKUP(VLOOKUP(Stationary_Combustion[[#This Row],[Fuel]], Custom_EF[], 11,FALSE)&amp;"_to_"&amp;'S1-Stationary Combustion'!H41, Conversions!$B$52:$F$162, Conversions!$E$52, FALSE))*Stationary_Combustion[[#This Row],[Amount of fuel]]/1000), ""))</f>
        <v/>
      </c>
      <c r="J41" s="387" t="str">
        <f>IF(Stationary_Combustion[[#This Row],[Custom Emission Factors?]]="No", _xlfn.IFNA((VLOOKUP(Stationary_Combustion[[#This Row],[Fuel]], EF_Stationary_Combustion[], 4, FALSE)/IF(VLOOKUP(Stationary_Combustion[[#This Row],[Fuel]], EF_Stationary_Combustion[], 9,FALSE) ='S1-Stationary Combustion'!H41, 1, VLOOKUP(VLOOKUP(Stationary_Combustion[[#This Row],[Fuel]], EF_Stationary_Combustion[], 9,FALSE)&amp;"_to_"&amp;'S1-Stationary Combustion'!H41,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Combustion'!H41, 1, VLOOKUP(VLOOKUP(Stationary_Combustion[[#This Row],[Fuel]], Custom_EF[], 11,FALSE)&amp;"_to_"&amp;'S1-Stationary Combustion'!H41, Conversions!$B$52:$F$162, Conversions!$E$52, FALSE))*Stationary_Combustion[[#This Row],[Amount of fuel]]/1000), ""))</f>
        <v/>
      </c>
      <c r="K41" s="387" t="str">
        <f>IF(Stationary_Combustion[[#This Row],[Custom Emission Factors?]]="No", _xlfn.IFNA((VLOOKUP(Stationary_Combustion[[#This Row],[Fuel]], EF_Stationary_Combustion[], 5, FALSE)/IF(VLOOKUP(Stationary_Combustion[[#This Row],[Fuel]], EF_Stationary_Combustion[], 9,FALSE) ='S1-Stationary Combustion'!H41, 1, VLOOKUP(VLOOKUP(Stationary_Combustion[[#This Row],[Fuel]], EF_Stationary_Combustion[], 9,FALSE)&amp;"_to_"&amp;'S1-Stationary Combustion'!H41,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Combustion'!H41, 1, VLOOKUP(VLOOKUP(Stationary_Combustion[[#This Row],[Fuel]], Custom_EF[], 11,FALSE)&amp;"_to_"&amp;'S1-Stationary Combustion'!H41, Conversions!$B$52:$F$162, Conversions!$E$52, FALSE))*Stationary_Combustion[[#This Row],[Amount of fuel]]/1000), ""))</f>
        <v/>
      </c>
      <c r="L41" s="386" t="str">
        <f>IFERROR(IF(Parameters!$D$19="2014 IPCC Fifth Assessment", (I41*Data!$AJ$5)+(J41*Data!$AJ$6)+(K41*Data!$AJ$7), (I41*Data!$AI$5)+(J41*Data!$AI$6)+(K41*Data!$AI$7)), "")</f>
        <v/>
      </c>
      <c r="M41" s="386" t="str">
        <f>IF(Stationary_Combustion[[#This Row],[Custom Emission Factors?]]="No", _xlfn.IFNA((VLOOKUP(Stationary_Combustion[[#This Row],[Fuel]], EF_Stationary_Combustion[], 6, FALSE)/IF(VLOOKUP(Stationary_Combustion[[#This Row],[Fuel]], EF_Stationary_Combustion[], 9,FALSE) ='S1-Stationary Combustion'!H41, 1, VLOOKUP(VLOOKUP(Stationary_Combustion[[#This Row],[Fuel]], EF_Stationary_Combustion[], 9,FALSE)&amp;"_to_"&amp;'S1-Stationary Combustion'!H41,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Combustion'!H41, 1, VLOOKUP(VLOOKUP(Stationary_Combustion[[#This Row],[Fuel]], Custom_EF[], 10,FALSE)&amp;"_to_"&amp;'S1-Stationary Combustion'!H41, Conversions!$B$52:$F$162, Conversions!$E$52, FALSE))*Stationary_Combustion[[#This Row],[Amount of fuel]]/1000), ""))</f>
        <v/>
      </c>
      <c r="N41" s="388" t="str">
        <f>IF(Stationary_Combustion[[#This Row],[Custom Emission Factors?]]="No", _xlfn.IFNA(VLOOKUP(F41, EF_Stationary_Combustion[], IF(Parameters!$D$19="2014 IPCC Fifth Assessment", 'Emission Factors'!$I$9, 'Emission Factors'!$H$9), FALSE), ""), _xlfn.IFNA(VLOOKUP(Stationary_Combustion[[#This Row],[Fuel]], Custom_EF[], 9, FALSE), ""))</f>
        <v/>
      </c>
      <c r="O41" s="378" t="str">
        <f>IF(Stationary_Combustion[[#This Row],[EF (kgCO2e/unit)]]="", "", IF(Stationary_Combustion[[#This Row],[Custom Emission Factors?]]="Yes", VLOOKUP(Stationary_Combustion[[#This Row],[Fuel]], Custom_EF[], 4, FALSE), VLOOKUP(Stationary_Combustion[[#This Row],[Fuel]], EF_Stationary_Combustion[#All], 10, FALSE)))</f>
        <v/>
      </c>
    </row>
    <row r="42" spans="3:15" ht="15.75">
      <c r="C42" s="688"/>
      <c r="D42" s="689"/>
      <c r="E42" s="689"/>
      <c r="F42" s="689"/>
      <c r="G42" s="690"/>
      <c r="H42" s="689"/>
      <c r="I42" s="386" t="str">
        <f>IF(Stationary_Combustion[[#This Row],[Custom Emission Factors?]]="No", _xlfn.IFNA((VLOOKUP(Stationary_Combustion[[#This Row],[Fuel]], EF_Stationary_Combustion[], 3, FALSE)/IF(VLOOKUP(Stationary_Combustion[[#This Row],[Fuel]], EF_Stationary_Combustion[], 9,FALSE) ='S1-Stationary Combustion'!H42, 1, VLOOKUP(VLOOKUP(Stationary_Combustion[[#This Row],[Fuel]], EF_Stationary_Combustion[], 9,FALSE)&amp;"_to_"&amp;'S1-Stationary Combustion'!H42,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Combustion'!H42, 1, VLOOKUP(VLOOKUP(Stationary_Combustion[[#This Row],[Fuel]], Custom_EF[], 11,FALSE)&amp;"_to_"&amp;'S1-Stationary Combustion'!H42, Conversions!$B$52:$F$162, Conversions!$E$52, FALSE))*Stationary_Combustion[[#This Row],[Amount of fuel]]/1000), ""))</f>
        <v/>
      </c>
      <c r="J42" s="387" t="str">
        <f>IF(Stationary_Combustion[[#This Row],[Custom Emission Factors?]]="No", _xlfn.IFNA((VLOOKUP(Stationary_Combustion[[#This Row],[Fuel]], EF_Stationary_Combustion[], 4, FALSE)/IF(VLOOKUP(Stationary_Combustion[[#This Row],[Fuel]], EF_Stationary_Combustion[], 9,FALSE) ='S1-Stationary Combustion'!H42, 1, VLOOKUP(VLOOKUP(Stationary_Combustion[[#This Row],[Fuel]], EF_Stationary_Combustion[], 9,FALSE)&amp;"_to_"&amp;'S1-Stationary Combustion'!H42,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Combustion'!H42, 1, VLOOKUP(VLOOKUP(Stationary_Combustion[[#This Row],[Fuel]], Custom_EF[], 11,FALSE)&amp;"_to_"&amp;'S1-Stationary Combustion'!H42, Conversions!$B$52:$F$162, Conversions!$E$52, FALSE))*Stationary_Combustion[[#This Row],[Amount of fuel]]/1000), ""))</f>
        <v/>
      </c>
      <c r="K42" s="387" t="str">
        <f>IF(Stationary_Combustion[[#This Row],[Custom Emission Factors?]]="No", _xlfn.IFNA((VLOOKUP(Stationary_Combustion[[#This Row],[Fuel]], EF_Stationary_Combustion[], 5, FALSE)/IF(VLOOKUP(Stationary_Combustion[[#This Row],[Fuel]], EF_Stationary_Combustion[], 9,FALSE) ='S1-Stationary Combustion'!H42, 1, VLOOKUP(VLOOKUP(Stationary_Combustion[[#This Row],[Fuel]], EF_Stationary_Combustion[], 9,FALSE)&amp;"_to_"&amp;'S1-Stationary Combustion'!H42,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Combustion'!H42, 1, VLOOKUP(VLOOKUP(Stationary_Combustion[[#This Row],[Fuel]], Custom_EF[], 11,FALSE)&amp;"_to_"&amp;'S1-Stationary Combustion'!H42, Conversions!$B$52:$F$162, Conversions!$E$52, FALSE))*Stationary_Combustion[[#This Row],[Amount of fuel]]/1000), ""))</f>
        <v/>
      </c>
      <c r="L42" s="386" t="str">
        <f>IFERROR(IF(Parameters!$D$19="2014 IPCC Fifth Assessment", (I42*Data!$AJ$5)+(J42*Data!$AJ$6)+(K42*Data!$AJ$7), (I42*Data!$AI$5)+(J42*Data!$AI$6)+(K42*Data!$AI$7)), "")</f>
        <v/>
      </c>
      <c r="M42" s="386" t="str">
        <f>IF(Stationary_Combustion[[#This Row],[Custom Emission Factors?]]="No", _xlfn.IFNA((VLOOKUP(Stationary_Combustion[[#This Row],[Fuel]], EF_Stationary_Combustion[], 6, FALSE)/IF(VLOOKUP(Stationary_Combustion[[#This Row],[Fuel]], EF_Stationary_Combustion[], 9,FALSE) ='S1-Stationary Combustion'!H42, 1, VLOOKUP(VLOOKUP(Stationary_Combustion[[#This Row],[Fuel]], EF_Stationary_Combustion[], 9,FALSE)&amp;"_to_"&amp;'S1-Stationary Combustion'!H42,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Combustion'!H42, 1, VLOOKUP(VLOOKUP(Stationary_Combustion[[#This Row],[Fuel]], Custom_EF[], 10,FALSE)&amp;"_to_"&amp;'S1-Stationary Combustion'!H42, Conversions!$B$52:$F$162, Conversions!$E$52, FALSE))*Stationary_Combustion[[#This Row],[Amount of fuel]]/1000), ""))</f>
        <v/>
      </c>
      <c r="N42" s="388" t="str">
        <f>IF(Stationary_Combustion[[#This Row],[Custom Emission Factors?]]="No", _xlfn.IFNA(VLOOKUP(F42, EF_Stationary_Combustion[], IF(Parameters!$D$19="2014 IPCC Fifth Assessment", 'Emission Factors'!$I$9, 'Emission Factors'!$H$9), FALSE), ""), _xlfn.IFNA(VLOOKUP(Stationary_Combustion[[#This Row],[Fuel]], Custom_EF[], 9, FALSE), ""))</f>
        <v/>
      </c>
      <c r="O42" s="378" t="str">
        <f>IF(Stationary_Combustion[[#This Row],[EF (kgCO2e/unit)]]="", "", IF(Stationary_Combustion[[#This Row],[Custom Emission Factors?]]="Yes", VLOOKUP(Stationary_Combustion[[#This Row],[Fuel]], Custom_EF[], 4, FALSE), VLOOKUP(Stationary_Combustion[[#This Row],[Fuel]], EF_Stationary_Combustion[#All], 10, FALSE)))</f>
        <v/>
      </c>
    </row>
    <row r="43" spans="3:15" ht="15.75">
      <c r="C43" s="688"/>
      <c r="D43" s="689"/>
      <c r="E43" s="689"/>
      <c r="F43" s="689"/>
      <c r="G43" s="690"/>
      <c r="H43" s="689"/>
      <c r="I43" s="386" t="str">
        <f>IF(Stationary_Combustion[[#This Row],[Custom Emission Factors?]]="No", _xlfn.IFNA((VLOOKUP(Stationary_Combustion[[#This Row],[Fuel]], EF_Stationary_Combustion[], 3, FALSE)/IF(VLOOKUP(Stationary_Combustion[[#This Row],[Fuel]], EF_Stationary_Combustion[], 9,FALSE) ='S1-Stationary Combustion'!H43, 1, VLOOKUP(VLOOKUP(Stationary_Combustion[[#This Row],[Fuel]], EF_Stationary_Combustion[], 9,FALSE)&amp;"_to_"&amp;'S1-Stationary Combustion'!H43,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Combustion'!H43, 1, VLOOKUP(VLOOKUP(Stationary_Combustion[[#This Row],[Fuel]], Custom_EF[], 11,FALSE)&amp;"_to_"&amp;'S1-Stationary Combustion'!H43, Conversions!$B$52:$F$162, Conversions!$E$52, FALSE))*Stationary_Combustion[[#This Row],[Amount of fuel]]/1000), ""))</f>
        <v/>
      </c>
      <c r="J43" s="387" t="str">
        <f>IF(Stationary_Combustion[[#This Row],[Custom Emission Factors?]]="No", _xlfn.IFNA((VLOOKUP(Stationary_Combustion[[#This Row],[Fuel]], EF_Stationary_Combustion[], 4, FALSE)/IF(VLOOKUP(Stationary_Combustion[[#This Row],[Fuel]], EF_Stationary_Combustion[], 9,FALSE) ='S1-Stationary Combustion'!H43, 1, VLOOKUP(VLOOKUP(Stationary_Combustion[[#This Row],[Fuel]], EF_Stationary_Combustion[], 9,FALSE)&amp;"_to_"&amp;'S1-Stationary Combustion'!H43,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Combustion'!H43, 1, VLOOKUP(VLOOKUP(Stationary_Combustion[[#This Row],[Fuel]], Custom_EF[], 11,FALSE)&amp;"_to_"&amp;'S1-Stationary Combustion'!H43, Conversions!$B$52:$F$162, Conversions!$E$52, FALSE))*Stationary_Combustion[[#This Row],[Amount of fuel]]/1000), ""))</f>
        <v/>
      </c>
      <c r="K43" s="387" t="str">
        <f>IF(Stationary_Combustion[[#This Row],[Custom Emission Factors?]]="No", _xlfn.IFNA((VLOOKUP(Stationary_Combustion[[#This Row],[Fuel]], EF_Stationary_Combustion[], 5, FALSE)/IF(VLOOKUP(Stationary_Combustion[[#This Row],[Fuel]], EF_Stationary_Combustion[], 9,FALSE) ='S1-Stationary Combustion'!H43, 1, VLOOKUP(VLOOKUP(Stationary_Combustion[[#This Row],[Fuel]], EF_Stationary_Combustion[], 9,FALSE)&amp;"_to_"&amp;'S1-Stationary Combustion'!H43,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Combustion'!H43, 1, VLOOKUP(VLOOKUP(Stationary_Combustion[[#This Row],[Fuel]], Custom_EF[], 11,FALSE)&amp;"_to_"&amp;'S1-Stationary Combustion'!H43, Conversions!$B$52:$F$162, Conversions!$E$52, FALSE))*Stationary_Combustion[[#This Row],[Amount of fuel]]/1000), ""))</f>
        <v/>
      </c>
      <c r="L43" s="386" t="str">
        <f>IFERROR(IF(Parameters!$D$19="2014 IPCC Fifth Assessment", (I43*Data!$AJ$5)+(J43*Data!$AJ$6)+(K43*Data!$AJ$7), (I43*Data!$AI$5)+(J43*Data!$AI$6)+(K43*Data!$AI$7)), "")</f>
        <v/>
      </c>
      <c r="M43" s="386" t="str">
        <f>IF(Stationary_Combustion[[#This Row],[Custom Emission Factors?]]="No", _xlfn.IFNA((VLOOKUP(Stationary_Combustion[[#This Row],[Fuel]], EF_Stationary_Combustion[], 6, FALSE)/IF(VLOOKUP(Stationary_Combustion[[#This Row],[Fuel]], EF_Stationary_Combustion[], 9,FALSE) ='S1-Stationary Combustion'!H43, 1, VLOOKUP(VLOOKUP(Stationary_Combustion[[#This Row],[Fuel]], EF_Stationary_Combustion[], 9,FALSE)&amp;"_to_"&amp;'S1-Stationary Combustion'!H43,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Combustion'!H43, 1, VLOOKUP(VLOOKUP(Stationary_Combustion[[#This Row],[Fuel]], Custom_EF[], 10,FALSE)&amp;"_to_"&amp;'S1-Stationary Combustion'!H43, Conversions!$B$52:$F$162, Conversions!$E$52, FALSE))*Stationary_Combustion[[#This Row],[Amount of fuel]]/1000), ""))</f>
        <v/>
      </c>
      <c r="N43" s="388" t="str">
        <f>IF(Stationary_Combustion[[#This Row],[Custom Emission Factors?]]="No", _xlfn.IFNA(VLOOKUP(F43, EF_Stationary_Combustion[], IF(Parameters!$D$19="2014 IPCC Fifth Assessment", 'Emission Factors'!$I$9, 'Emission Factors'!$H$9), FALSE), ""), _xlfn.IFNA(VLOOKUP(Stationary_Combustion[[#This Row],[Fuel]], Custom_EF[], 9, FALSE), ""))</f>
        <v/>
      </c>
      <c r="O43" s="378" t="str">
        <f>IF(Stationary_Combustion[[#This Row],[EF (kgCO2e/unit)]]="", "", IF(Stationary_Combustion[[#This Row],[Custom Emission Factors?]]="Yes", VLOOKUP(Stationary_Combustion[[#This Row],[Fuel]], Custom_EF[], 4, FALSE), VLOOKUP(Stationary_Combustion[[#This Row],[Fuel]], EF_Stationary_Combustion[#All], 10, FALSE)))</f>
        <v/>
      </c>
    </row>
    <row r="44" spans="3:15" ht="15.75">
      <c r="C44" s="688"/>
      <c r="D44" s="689"/>
      <c r="E44" s="689"/>
      <c r="F44" s="689"/>
      <c r="G44" s="690"/>
      <c r="H44" s="689"/>
      <c r="I44" s="386" t="str">
        <f>IF(Stationary_Combustion[[#This Row],[Custom Emission Factors?]]="No", _xlfn.IFNA((VLOOKUP(Stationary_Combustion[[#This Row],[Fuel]], EF_Stationary_Combustion[], 3, FALSE)/IF(VLOOKUP(Stationary_Combustion[[#This Row],[Fuel]], EF_Stationary_Combustion[], 9,FALSE) ='S1-Stationary Combustion'!H44, 1, VLOOKUP(VLOOKUP(Stationary_Combustion[[#This Row],[Fuel]], EF_Stationary_Combustion[], 9,FALSE)&amp;"_to_"&amp;'S1-Stationary Combustion'!H44,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Combustion'!H44, 1, VLOOKUP(VLOOKUP(Stationary_Combustion[[#This Row],[Fuel]], Custom_EF[], 11,FALSE)&amp;"_to_"&amp;'S1-Stationary Combustion'!H44, Conversions!$B$52:$F$162, Conversions!$E$52, FALSE))*Stationary_Combustion[[#This Row],[Amount of fuel]]/1000), ""))</f>
        <v/>
      </c>
      <c r="J44" s="387" t="str">
        <f>IF(Stationary_Combustion[[#This Row],[Custom Emission Factors?]]="No", _xlfn.IFNA((VLOOKUP(Stationary_Combustion[[#This Row],[Fuel]], EF_Stationary_Combustion[], 4, FALSE)/IF(VLOOKUP(Stationary_Combustion[[#This Row],[Fuel]], EF_Stationary_Combustion[], 9,FALSE) ='S1-Stationary Combustion'!H44, 1, VLOOKUP(VLOOKUP(Stationary_Combustion[[#This Row],[Fuel]], EF_Stationary_Combustion[], 9,FALSE)&amp;"_to_"&amp;'S1-Stationary Combustion'!H44,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Combustion'!H44, 1, VLOOKUP(VLOOKUP(Stationary_Combustion[[#This Row],[Fuel]], Custom_EF[], 11,FALSE)&amp;"_to_"&amp;'S1-Stationary Combustion'!H44, Conversions!$B$52:$F$162, Conversions!$E$52, FALSE))*Stationary_Combustion[[#This Row],[Amount of fuel]]/1000), ""))</f>
        <v/>
      </c>
      <c r="K44" s="387" t="str">
        <f>IF(Stationary_Combustion[[#This Row],[Custom Emission Factors?]]="No", _xlfn.IFNA((VLOOKUP(Stationary_Combustion[[#This Row],[Fuel]], EF_Stationary_Combustion[], 5, FALSE)/IF(VLOOKUP(Stationary_Combustion[[#This Row],[Fuel]], EF_Stationary_Combustion[], 9,FALSE) ='S1-Stationary Combustion'!H44, 1, VLOOKUP(VLOOKUP(Stationary_Combustion[[#This Row],[Fuel]], EF_Stationary_Combustion[], 9,FALSE)&amp;"_to_"&amp;'S1-Stationary Combustion'!H44,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Combustion'!H44, 1, VLOOKUP(VLOOKUP(Stationary_Combustion[[#This Row],[Fuel]], Custom_EF[], 11,FALSE)&amp;"_to_"&amp;'S1-Stationary Combustion'!H44, Conversions!$B$52:$F$162, Conversions!$E$52, FALSE))*Stationary_Combustion[[#This Row],[Amount of fuel]]/1000), ""))</f>
        <v/>
      </c>
      <c r="L44" s="386" t="str">
        <f>IFERROR(IF(Parameters!$D$19="2014 IPCC Fifth Assessment", (I44*Data!$AJ$5)+(J44*Data!$AJ$6)+(K44*Data!$AJ$7), (I44*Data!$AI$5)+(J44*Data!$AI$6)+(K44*Data!$AI$7)), "")</f>
        <v/>
      </c>
      <c r="M44" s="386" t="str">
        <f>IF(Stationary_Combustion[[#This Row],[Custom Emission Factors?]]="No", _xlfn.IFNA((VLOOKUP(Stationary_Combustion[[#This Row],[Fuel]], EF_Stationary_Combustion[], 6, FALSE)/IF(VLOOKUP(Stationary_Combustion[[#This Row],[Fuel]], EF_Stationary_Combustion[], 9,FALSE) ='S1-Stationary Combustion'!H44, 1, VLOOKUP(VLOOKUP(Stationary_Combustion[[#This Row],[Fuel]], EF_Stationary_Combustion[], 9,FALSE)&amp;"_to_"&amp;'S1-Stationary Combustion'!H44,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Combustion'!H44, 1, VLOOKUP(VLOOKUP(Stationary_Combustion[[#This Row],[Fuel]], Custom_EF[], 10,FALSE)&amp;"_to_"&amp;'S1-Stationary Combustion'!H44, Conversions!$B$52:$F$162, Conversions!$E$52, FALSE))*Stationary_Combustion[[#This Row],[Amount of fuel]]/1000), ""))</f>
        <v/>
      </c>
      <c r="N44" s="388" t="str">
        <f>IF(Stationary_Combustion[[#This Row],[Custom Emission Factors?]]="No", _xlfn.IFNA(VLOOKUP(F44, EF_Stationary_Combustion[], IF(Parameters!$D$19="2014 IPCC Fifth Assessment", 'Emission Factors'!$I$9, 'Emission Factors'!$H$9), FALSE), ""), _xlfn.IFNA(VLOOKUP(Stationary_Combustion[[#This Row],[Fuel]], Custom_EF[], 9, FALSE), ""))</f>
        <v/>
      </c>
      <c r="O44" s="378" t="str">
        <f>IF(Stationary_Combustion[[#This Row],[EF (kgCO2e/unit)]]="", "", IF(Stationary_Combustion[[#This Row],[Custom Emission Factors?]]="Yes", VLOOKUP(Stationary_Combustion[[#This Row],[Fuel]], Custom_EF[], 4, FALSE), VLOOKUP(Stationary_Combustion[[#This Row],[Fuel]], EF_Stationary_Combustion[#All], 10, FALSE)))</f>
        <v/>
      </c>
    </row>
    <row r="45" spans="3:15" ht="15.75">
      <c r="C45" s="688"/>
      <c r="D45" s="689"/>
      <c r="E45" s="689"/>
      <c r="F45" s="689"/>
      <c r="G45" s="690"/>
      <c r="H45" s="689"/>
      <c r="I45" s="386" t="str">
        <f>IF(Stationary_Combustion[[#This Row],[Custom Emission Factors?]]="No", _xlfn.IFNA((VLOOKUP(Stationary_Combustion[[#This Row],[Fuel]], EF_Stationary_Combustion[], 3, FALSE)/IF(VLOOKUP(Stationary_Combustion[[#This Row],[Fuel]], EF_Stationary_Combustion[], 9,FALSE) ='S1-Stationary Combustion'!H45, 1, VLOOKUP(VLOOKUP(Stationary_Combustion[[#This Row],[Fuel]], EF_Stationary_Combustion[], 9,FALSE)&amp;"_to_"&amp;'S1-Stationary Combustion'!H45,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Combustion'!H45, 1, VLOOKUP(VLOOKUP(Stationary_Combustion[[#This Row],[Fuel]], Custom_EF[], 11,FALSE)&amp;"_to_"&amp;'S1-Stationary Combustion'!H45, Conversions!$B$52:$F$162, Conversions!$E$52, FALSE))*Stationary_Combustion[[#This Row],[Amount of fuel]]/1000), ""))</f>
        <v/>
      </c>
      <c r="J45" s="387" t="str">
        <f>IF(Stationary_Combustion[[#This Row],[Custom Emission Factors?]]="No", _xlfn.IFNA((VLOOKUP(Stationary_Combustion[[#This Row],[Fuel]], EF_Stationary_Combustion[], 4, FALSE)/IF(VLOOKUP(Stationary_Combustion[[#This Row],[Fuel]], EF_Stationary_Combustion[], 9,FALSE) ='S1-Stationary Combustion'!H45, 1, VLOOKUP(VLOOKUP(Stationary_Combustion[[#This Row],[Fuel]], EF_Stationary_Combustion[], 9,FALSE)&amp;"_to_"&amp;'S1-Stationary Combustion'!H45,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Combustion'!H45, 1, VLOOKUP(VLOOKUP(Stationary_Combustion[[#This Row],[Fuel]], Custom_EF[], 11,FALSE)&amp;"_to_"&amp;'S1-Stationary Combustion'!H45, Conversions!$B$52:$F$162, Conversions!$E$52, FALSE))*Stationary_Combustion[[#This Row],[Amount of fuel]]/1000), ""))</f>
        <v/>
      </c>
      <c r="K45" s="387" t="str">
        <f>IF(Stationary_Combustion[[#This Row],[Custom Emission Factors?]]="No", _xlfn.IFNA((VLOOKUP(Stationary_Combustion[[#This Row],[Fuel]], EF_Stationary_Combustion[], 5, FALSE)/IF(VLOOKUP(Stationary_Combustion[[#This Row],[Fuel]], EF_Stationary_Combustion[], 9,FALSE) ='S1-Stationary Combustion'!H45, 1, VLOOKUP(VLOOKUP(Stationary_Combustion[[#This Row],[Fuel]], EF_Stationary_Combustion[], 9,FALSE)&amp;"_to_"&amp;'S1-Stationary Combustion'!H45,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Combustion'!H45, 1, VLOOKUP(VLOOKUP(Stationary_Combustion[[#This Row],[Fuel]], Custom_EF[], 11,FALSE)&amp;"_to_"&amp;'S1-Stationary Combustion'!H45, Conversions!$B$52:$F$162, Conversions!$E$52, FALSE))*Stationary_Combustion[[#This Row],[Amount of fuel]]/1000), ""))</f>
        <v/>
      </c>
      <c r="L45" s="386" t="str">
        <f>IFERROR(IF(Parameters!$D$19="2014 IPCC Fifth Assessment", (I45*Data!$AJ$5)+(J45*Data!$AJ$6)+(K45*Data!$AJ$7), (I45*Data!$AI$5)+(J45*Data!$AI$6)+(K45*Data!$AI$7)), "")</f>
        <v/>
      </c>
      <c r="M45" s="386" t="str">
        <f>IF(Stationary_Combustion[[#This Row],[Custom Emission Factors?]]="No", _xlfn.IFNA((VLOOKUP(Stationary_Combustion[[#This Row],[Fuel]], EF_Stationary_Combustion[], 6, FALSE)/IF(VLOOKUP(Stationary_Combustion[[#This Row],[Fuel]], EF_Stationary_Combustion[], 9,FALSE) ='S1-Stationary Combustion'!H45, 1, VLOOKUP(VLOOKUP(Stationary_Combustion[[#This Row],[Fuel]], EF_Stationary_Combustion[], 9,FALSE)&amp;"_to_"&amp;'S1-Stationary Combustion'!H45,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Combustion'!H45, 1, VLOOKUP(VLOOKUP(Stationary_Combustion[[#This Row],[Fuel]], Custom_EF[], 10,FALSE)&amp;"_to_"&amp;'S1-Stationary Combustion'!H45, Conversions!$B$52:$F$162, Conversions!$E$52, FALSE))*Stationary_Combustion[[#This Row],[Amount of fuel]]/1000), ""))</f>
        <v/>
      </c>
      <c r="N45" s="388" t="str">
        <f>IF(Stationary_Combustion[[#This Row],[Custom Emission Factors?]]="No", _xlfn.IFNA(VLOOKUP(F45, EF_Stationary_Combustion[], IF(Parameters!$D$19="2014 IPCC Fifth Assessment", 'Emission Factors'!$I$9, 'Emission Factors'!$H$9), FALSE), ""), _xlfn.IFNA(VLOOKUP(Stationary_Combustion[[#This Row],[Fuel]], Custom_EF[], 9, FALSE), ""))</f>
        <v/>
      </c>
      <c r="O45" s="378" t="str">
        <f>IF(Stationary_Combustion[[#This Row],[EF (kgCO2e/unit)]]="", "", IF(Stationary_Combustion[[#This Row],[Custom Emission Factors?]]="Yes", VLOOKUP(Stationary_Combustion[[#This Row],[Fuel]], Custom_EF[], 4, FALSE), VLOOKUP(Stationary_Combustion[[#This Row],[Fuel]], EF_Stationary_Combustion[#All], 10, FALSE)))</f>
        <v/>
      </c>
    </row>
    <row r="46" spans="3:15" ht="15.75">
      <c r="C46" s="688"/>
      <c r="D46" s="689"/>
      <c r="E46" s="689"/>
      <c r="F46" s="689"/>
      <c r="G46" s="690"/>
      <c r="H46" s="689"/>
      <c r="I46" s="386" t="str">
        <f>IF(Stationary_Combustion[[#This Row],[Custom Emission Factors?]]="No", _xlfn.IFNA((VLOOKUP(Stationary_Combustion[[#This Row],[Fuel]], EF_Stationary_Combustion[], 3, FALSE)/IF(VLOOKUP(Stationary_Combustion[[#This Row],[Fuel]], EF_Stationary_Combustion[], 9,FALSE) ='S1-Stationary Combustion'!H46, 1, VLOOKUP(VLOOKUP(Stationary_Combustion[[#This Row],[Fuel]], EF_Stationary_Combustion[], 9,FALSE)&amp;"_to_"&amp;'S1-Stationary Combustion'!H46,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Combustion'!H46, 1, VLOOKUP(VLOOKUP(Stationary_Combustion[[#This Row],[Fuel]], Custom_EF[], 11,FALSE)&amp;"_to_"&amp;'S1-Stationary Combustion'!H46, Conversions!$B$52:$F$162, Conversions!$E$52, FALSE))*Stationary_Combustion[[#This Row],[Amount of fuel]]/1000), ""))</f>
        <v/>
      </c>
      <c r="J46" s="387" t="str">
        <f>IF(Stationary_Combustion[[#This Row],[Custom Emission Factors?]]="No", _xlfn.IFNA((VLOOKUP(Stationary_Combustion[[#This Row],[Fuel]], EF_Stationary_Combustion[], 4, FALSE)/IF(VLOOKUP(Stationary_Combustion[[#This Row],[Fuel]], EF_Stationary_Combustion[], 9,FALSE) ='S1-Stationary Combustion'!H46, 1, VLOOKUP(VLOOKUP(Stationary_Combustion[[#This Row],[Fuel]], EF_Stationary_Combustion[], 9,FALSE)&amp;"_to_"&amp;'S1-Stationary Combustion'!H46,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Combustion'!H46, 1, VLOOKUP(VLOOKUP(Stationary_Combustion[[#This Row],[Fuel]], Custom_EF[], 11,FALSE)&amp;"_to_"&amp;'S1-Stationary Combustion'!H46, Conversions!$B$52:$F$162, Conversions!$E$52, FALSE))*Stationary_Combustion[[#This Row],[Amount of fuel]]/1000), ""))</f>
        <v/>
      </c>
      <c r="K46" s="387" t="str">
        <f>IF(Stationary_Combustion[[#This Row],[Custom Emission Factors?]]="No", _xlfn.IFNA((VLOOKUP(Stationary_Combustion[[#This Row],[Fuel]], EF_Stationary_Combustion[], 5, FALSE)/IF(VLOOKUP(Stationary_Combustion[[#This Row],[Fuel]], EF_Stationary_Combustion[], 9,FALSE) ='S1-Stationary Combustion'!H46, 1, VLOOKUP(VLOOKUP(Stationary_Combustion[[#This Row],[Fuel]], EF_Stationary_Combustion[], 9,FALSE)&amp;"_to_"&amp;'S1-Stationary Combustion'!H46,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Combustion'!H46, 1, VLOOKUP(VLOOKUP(Stationary_Combustion[[#This Row],[Fuel]], Custom_EF[], 11,FALSE)&amp;"_to_"&amp;'S1-Stationary Combustion'!H46, Conversions!$B$52:$F$162, Conversions!$E$52, FALSE))*Stationary_Combustion[[#This Row],[Amount of fuel]]/1000), ""))</f>
        <v/>
      </c>
      <c r="L46" s="386" t="str">
        <f>IFERROR(IF(Parameters!$D$19="2014 IPCC Fifth Assessment", (I46*Data!$AJ$5)+(J46*Data!$AJ$6)+(K46*Data!$AJ$7), (I46*Data!$AI$5)+(J46*Data!$AI$6)+(K46*Data!$AI$7)), "")</f>
        <v/>
      </c>
      <c r="M46" s="386" t="str">
        <f>IF(Stationary_Combustion[[#This Row],[Custom Emission Factors?]]="No", _xlfn.IFNA((VLOOKUP(Stationary_Combustion[[#This Row],[Fuel]], EF_Stationary_Combustion[], 6, FALSE)/IF(VLOOKUP(Stationary_Combustion[[#This Row],[Fuel]], EF_Stationary_Combustion[], 9,FALSE) ='S1-Stationary Combustion'!H46, 1, VLOOKUP(VLOOKUP(Stationary_Combustion[[#This Row],[Fuel]], EF_Stationary_Combustion[], 9,FALSE)&amp;"_to_"&amp;'S1-Stationary Combustion'!H46,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Combustion'!H46, 1, VLOOKUP(VLOOKUP(Stationary_Combustion[[#This Row],[Fuel]], Custom_EF[], 10,FALSE)&amp;"_to_"&amp;'S1-Stationary Combustion'!H46, Conversions!$B$52:$F$162, Conversions!$E$52, FALSE))*Stationary_Combustion[[#This Row],[Amount of fuel]]/1000), ""))</f>
        <v/>
      </c>
      <c r="N46" s="388" t="str">
        <f>IF(Stationary_Combustion[[#This Row],[Custom Emission Factors?]]="No", _xlfn.IFNA(VLOOKUP(F46, EF_Stationary_Combustion[], IF(Parameters!$D$19="2014 IPCC Fifth Assessment", 'Emission Factors'!$I$9, 'Emission Factors'!$H$9), FALSE), ""), _xlfn.IFNA(VLOOKUP(Stationary_Combustion[[#This Row],[Fuel]], Custom_EF[], 9, FALSE), ""))</f>
        <v/>
      </c>
      <c r="O46" s="378" t="str">
        <f>IF(Stationary_Combustion[[#This Row],[EF (kgCO2e/unit)]]="", "", IF(Stationary_Combustion[[#This Row],[Custom Emission Factors?]]="Yes", VLOOKUP(Stationary_Combustion[[#This Row],[Fuel]], Custom_EF[], 4, FALSE), VLOOKUP(Stationary_Combustion[[#This Row],[Fuel]], EF_Stationary_Combustion[#All], 10, FALSE)))</f>
        <v/>
      </c>
    </row>
    <row r="47" spans="3:15" ht="15.75">
      <c r="C47" s="688"/>
      <c r="D47" s="689"/>
      <c r="E47" s="689"/>
      <c r="F47" s="689"/>
      <c r="G47" s="690"/>
      <c r="H47" s="689"/>
      <c r="I47" s="386" t="str">
        <f>IF(Stationary_Combustion[[#This Row],[Custom Emission Factors?]]="No", _xlfn.IFNA((VLOOKUP(Stationary_Combustion[[#This Row],[Fuel]], EF_Stationary_Combustion[], 3, FALSE)/IF(VLOOKUP(Stationary_Combustion[[#This Row],[Fuel]], EF_Stationary_Combustion[], 9,FALSE) ='S1-Stationary Combustion'!H47, 1, VLOOKUP(VLOOKUP(Stationary_Combustion[[#This Row],[Fuel]], EF_Stationary_Combustion[], 9,FALSE)&amp;"_to_"&amp;'S1-Stationary Combustion'!H47,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Combustion'!H47, 1, VLOOKUP(VLOOKUP(Stationary_Combustion[[#This Row],[Fuel]], Custom_EF[], 11,FALSE)&amp;"_to_"&amp;'S1-Stationary Combustion'!H47, Conversions!$B$52:$F$162, Conversions!$E$52, FALSE))*Stationary_Combustion[[#This Row],[Amount of fuel]]/1000), ""))</f>
        <v/>
      </c>
      <c r="J47" s="387" t="str">
        <f>IF(Stationary_Combustion[[#This Row],[Custom Emission Factors?]]="No", _xlfn.IFNA((VLOOKUP(Stationary_Combustion[[#This Row],[Fuel]], EF_Stationary_Combustion[], 4, FALSE)/IF(VLOOKUP(Stationary_Combustion[[#This Row],[Fuel]], EF_Stationary_Combustion[], 9,FALSE) ='S1-Stationary Combustion'!H47, 1, VLOOKUP(VLOOKUP(Stationary_Combustion[[#This Row],[Fuel]], EF_Stationary_Combustion[], 9,FALSE)&amp;"_to_"&amp;'S1-Stationary Combustion'!H47,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Combustion'!H47, 1, VLOOKUP(VLOOKUP(Stationary_Combustion[[#This Row],[Fuel]], Custom_EF[], 11,FALSE)&amp;"_to_"&amp;'S1-Stationary Combustion'!H47, Conversions!$B$52:$F$162, Conversions!$E$52, FALSE))*Stationary_Combustion[[#This Row],[Amount of fuel]]/1000), ""))</f>
        <v/>
      </c>
      <c r="K47" s="387" t="str">
        <f>IF(Stationary_Combustion[[#This Row],[Custom Emission Factors?]]="No", _xlfn.IFNA((VLOOKUP(Stationary_Combustion[[#This Row],[Fuel]], EF_Stationary_Combustion[], 5, FALSE)/IF(VLOOKUP(Stationary_Combustion[[#This Row],[Fuel]], EF_Stationary_Combustion[], 9,FALSE) ='S1-Stationary Combustion'!H47, 1, VLOOKUP(VLOOKUP(Stationary_Combustion[[#This Row],[Fuel]], EF_Stationary_Combustion[], 9,FALSE)&amp;"_to_"&amp;'S1-Stationary Combustion'!H47,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Combustion'!H47, 1, VLOOKUP(VLOOKUP(Stationary_Combustion[[#This Row],[Fuel]], Custom_EF[], 11,FALSE)&amp;"_to_"&amp;'S1-Stationary Combustion'!H47, Conversions!$B$52:$F$162, Conversions!$E$52, FALSE))*Stationary_Combustion[[#This Row],[Amount of fuel]]/1000), ""))</f>
        <v/>
      </c>
      <c r="L47" s="386" t="str">
        <f>IFERROR(IF(Parameters!$D$19="2014 IPCC Fifth Assessment", (I47*Data!$AJ$5)+(J47*Data!$AJ$6)+(K47*Data!$AJ$7), (I47*Data!$AI$5)+(J47*Data!$AI$6)+(K47*Data!$AI$7)), "")</f>
        <v/>
      </c>
      <c r="M47" s="386" t="str">
        <f>IF(Stationary_Combustion[[#This Row],[Custom Emission Factors?]]="No", _xlfn.IFNA((VLOOKUP(Stationary_Combustion[[#This Row],[Fuel]], EF_Stationary_Combustion[], 6, FALSE)/IF(VLOOKUP(Stationary_Combustion[[#This Row],[Fuel]], EF_Stationary_Combustion[], 9,FALSE) ='S1-Stationary Combustion'!H47, 1, VLOOKUP(VLOOKUP(Stationary_Combustion[[#This Row],[Fuel]], EF_Stationary_Combustion[], 9,FALSE)&amp;"_to_"&amp;'S1-Stationary Combustion'!H47,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Combustion'!H47, 1, VLOOKUP(VLOOKUP(Stationary_Combustion[[#This Row],[Fuel]], Custom_EF[], 10,FALSE)&amp;"_to_"&amp;'S1-Stationary Combustion'!H47, Conversions!$B$52:$F$162, Conversions!$E$52, FALSE))*Stationary_Combustion[[#This Row],[Amount of fuel]]/1000), ""))</f>
        <v/>
      </c>
      <c r="N47" s="388" t="str">
        <f>IF(Stationary_Combustion[[#This Row],[Custom Emission Factors?]]="No", _xlfn.IFNA(VLOOKUP(F47, EF_Stationary_Combustion[], IF(Parameters!$D$19="2014 IPCC Fifth Assessment", 'Emission Factors'!$I$9, 'Emission Factors'!$H$9), FALSE), ""), _xlfn.IFNA(VLOOKUP(Stationary_Combustion[[#This Row],[Fuel]], Custom_EF[], 9, FALSE), ""))</f>
        <v/>
      </c>
      <c r="O47" s="378" t="str">
        <f>IF(Stationary_Combustion[[#This Row],[EF (kgCO2e/unit)]]="", "", IF(Stationary_Combustion[[#This Row],[Custom Emission Factors?]]="Yes", VLOOKUP(Stationary_Combustion[[#This Row],[Fuel]], Custom_EF[], 4, FALSE), VLOOKUP(Stationary_Combustion[[#This Row],[Fuel]], EF_Stationary_Combustion[#All], 10, FALSE)))</f>
        <v/>
      </c>
    </row>
    <row r="48" spans="3:15" ht="15.75">
      <c r="C48" s="688"/>
      <c r="D48" s="689"/>
      <c r="E48" s="689"/>
      <c r="F48" s="689"/>
      <c r="G48" s="690"/>
      <c r="H48" s="689"/>
      <c r="I48" s="386" t="str">
        <f>IF(Stationary_Combustion[[#This Row],[Custom Emission Factors?]]="No", _xlfn.IFNA((VLOOKUP(Stationary_Combustion[[#This Row],[Fuel]], EF_Stationary_Combustion[], 3, FALSE)/IF(VLOOKUP(Stationary_Combustion[[#This Row],[Fuel]], EF_Stationary_Combustion[], 9,FALSE) ='S1-Stationary Combustion'!H48, 1, VLOOKUP(VLOOKUP(Stationary_Combustion[[#This Row],[Fuel]], EF_Stationary_Combustion[], 9,FALSE)&amp;"_to_"&amp;'S1-Stationary Combustion'!H48,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Combustion'!H48, 1, VLOOKUP(VLOOKUP(Stationary_Combustion[[#This Row],[Fuel]], Custom_EF[], 11,FALSE)&amp;"_to_"&amp;'S1-Stationary Combustion'!H48, Conversions!$B$52:$F$162, Conversions!$E$52, FALSE))*Stationary_Combustion[[#This Row],[Amount of fuel]]/1000), ""))</f>
        <v/>
      </c>
      <c r="J48" s="387" t="str">
        <f>IF(Stationary_Combustion[[#This Row],[Custom Emission Factors?]]="No", _xlfn.IFNA((VLOOKUP(Stationary_Combustion[[#This Row],[Fuel]], EF_Stationary_Combustion[], 4, FALSE)/IF(VLOOKUP(Stationary_Combustion[[#This Row],[Fuel]], EF_Stationary_Combustion[], 9,FALSE) ='S1-Stationary Combustion'!H48, 1, VLOOKUP(VLOOKUP(Stationary_Combustion[[#This Row],[Fuel]], EF_Stationary_Combustion[], 9,FALSE)&amp;"_to_"&amp;'S1-Stationary Combustion'!H48,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Combustion'!H48, 1, VLOOKUP(VLOOKUP(Stationary_Combustion[[#This Row],[Fuel]], Custom_EF[], 11,FALSE)&amp;"_to_"&amp;'S1-Stationary Combustion'!H48, Conversions!$B$52:$F$162, Conversions!$E$52, FALSE))*Stationary_Combustion[[#This Row],[Amount of fuel]]/1000), ""))</f>
        <v/>
      </c>
      <c r="K48" s="387" t="str">
        <f>IF(Stationary_Combustion[[#This Row],[Custom Emission Factors?]]="No", _xlfn.IFNA((VLOOKUP(Stationary_Combustion[[#This Row],[Fuel]], EF_Stationary_Combustion[], 5, FALSE)/IF(VLOOKUP(Stationary_Combustion[[#This Row],[Fuel]], EF_Stationary_Combustion[], 9,FALSE) ='S1-Stationary Combustion'!H48, 1, VLOOKUP(VLOOKUP(Stationary_Combustion[[#This Row],[Fuel]], EF_Stationary_Combustion[], 9,FALSE)&amp;"_to_"&amp;'S1-Stationary Combustion'!H48,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Combustion'!H48, 1, VLOOKUP(VLOOKUP(Stationary_Combustion[[#This Row],[Fuel]], Custom_EF[], 11,FALSE)&amp;"_to_"&amp;'S1-Stationary Combustion'!H48, Conversions!$B$52:$F$162, Conversions!$E$52, FALSE))*Stationary_Combustion[[#This Row],[Amount of fuel]]/1000), ""))</f>
        <v/>
      </c>
      <c r="L48" s="386" t="str">
        <f>IFERROR(IF(Parameters!$D$19="2014 IPCC Fifth Assessment", (I48*Data!$AJ$5)+(J48*Data!$AJ$6)+(K48*Data!$AJ$7), (I48*Data!$AI$5)+(J48*Data!$AI$6)+(K48*Data!$AI$7)), "")</f>
        <v/>
      </c>
      <c r="M48" s="386" t="str">
        <f>IF(Stationary_Combustion[[#This Row],[Custom Emission Factors?]]="No", _xlfn.IFNA((VLOOKUP(Stationary_Combustion[[#This Row],[Fuel]], EF_Stationary_Combustion[], 6, FALSE)/IF(VLOOKUP(Stationary_Combustion[[#This Row],[Fuel]], EF_Stationary_Combustion[], 9,FALSE) ='S1-Stationary Combustion'!H48, 1, VLOOKUP(VLOOKUP(Stationary_Combustion[[#This Row],[Fuel]], EF_Stationary_Combustion[], 9,FALSE)&amp;"_to_"&amp;'S1-Stationary Combustion'!H48,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Combustion'!H48, 1, VLOOKUP(VLOOKUP(Stationary_Combustion[[#This Row],[Fuel]], Custom_EF[], 10,FALSE)&amp;"_to_"&amp;'S1-Stationary Combustion'!H48, Conversions!$B$52:$F$162, Conversions!$E$52, FALSE))*Stationary_Combustion[[#This Row],[Amount of fuel]]/1000), ""))</f>
        <v/>
      </c>
      <c r="N48" s="388" t="str">
        <f>IF(Stationary_Combustion[[#This Row],[Custom Emission Factors?]]="No", _xlfn.IFNA(VLOOKUP(F48, EF_Stationary_Combustion[], IF(Parameters!$D$19="2014 IPCC Fifth Assessment", 'Emission Factors'!$I$9, 'Emission Factors'!$H$9), FALSE), ""), _xlfn.IFNA(VLOOKUP(Stationary_Combustion[[#This Row],[Fuel]], Custom_EF[], 9, FALSE), ""))</f>
        <v/>
      </c>
      <c r="O48" s="378" t="str">
        <f>IF(Stationary_Combustion[[#This Row],[EF (kgCO2e/unit)]]="", "", IF(Stationary_Combustion[[#This Row],[Custom Emission Factors?]]="Yes", VLOOKUP(Stationary_Combustion[[#This Row],[Fuel]], Custom_EF[], 4, FALSE), VLOOKUP(Stationary_Combustion[[#This Row],[Fuel]], EF_Stationary_Combustion[#All], 10, FALSE)))</f>
        <v/>
      </c>
    </row>
    <row r="49" spans="3:15" ht="15.75">
      <c r="C49" s="688"/>
      <c r="D49" s="689"/>
      <c r="E49" s="689"/>
      <c r="F49" s="689"/>
      <c r="G49" s="690"/>
      <c r="H49" s="689"/>
      <c r="I49" s="386" t="str">
        <f>IF(Stationary_Combustion[[#This Row],[Custom Emission Factors?]]="No", _xlfn.IFNA((VLOOKUP(Stationary_Combustion[[#This Row],[Fuel]], EF_Stationary_Combustion[], 3, FALSE)/IF(VLOOKUP(Stationary_Combustion[[#This Row],[Fuel]], EF_Stationary_Combustion[], 9,FALSE) ='S1-Stationary Combustion'!H49, 1, VLOOKUP(VLOOKUP(Stationary_Combustion[[#This Row],[Fuel]], EF_Stationary_Combustion[], 9,FALSE)&amp;"_to_"&amp;'S1-Stationary Combustion'!H49,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Combustion'!H49, 1, VLOOKUP(VLOOKUP(Stationary_Combustion[[#This Row],[Fuel]], Custom_EF[], 11,FALSE)&amp;"_to_"&amp;'S1-Stationary Combustion'!H49, Conversions!$B$52:$F$162, Conversions!$E$52, FALSE))*Stationary_Combustion[[#This Row],[Amount of fuel]]/1000), ""))</f>
        <v/>
      </c>
      <c r="J49" s="387" t="str">
        <f>IF(Stationary_Combustion[[#This Row],[Custom Emission Factors?]]="No", _xlfn.IFNA((VLOOKUP(Stationary_Combustion[[#This Row],[Fuel]], EF_Stationary_Combustion[], 4, FALSE)/IF(VLOOKUP(Stationary_Combustion[[#This Row],[Fuel]], EF_Stationary_Combustion[], 9,FALSE) ='S1-Stationary Combustion'!H49, 1, VLOOKUP(VLOOKUP(Stationary_Combustion[[#This Row],[Fuel]], EF_Stationary_Combustion[], 9,FALSE)&amp;"_to_"&amp;'S1-Stationary Combustion'!H49,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Combustion'!H49, 1, VLOOKUP(VLOOKUP(Stationary_Combustion[[#This Row],[Fuel]], Custom_EF[], 11,FALSE)&amp;"_to_"&amp;'S1-Stationary Combustion'!H49, Conversions!$B$52:$F$162, Conversions!$E$52, FALSE))*Stationary_Combustion[[#This Row],[Amount of fuel]]/1000), ""))</f>
        <v/>
      </c>
      <c r="K49" s="387" t="str">
        <f>IF(Stationary_Combustion[[#This Row],[Custom Emission Factors?]]="No", _xlfn.IFNA((VLOOKUP(Stationary_Combustion[[#This Row],[Fuel]], EF_Stationary_Combustion[], 5, FALSE)/IF(VLOOKUP(Stationary_Combustion[[#This Row],[Fuel]], EF_Stationary_Combustion[], 9,FALSE) ='S1-Stationary Combustion'!H49, 1, VLOOKUP(VLOOKUP(Stationary_Combustion[[#This Row],[Fuel]], EF_Stationary_Combustion[], 9,FALSE)&amp;"_to_"&amp;'S1-Stationary Combustion'!H49,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Combustion'!H49, 1, VLOOKUP(VLOOKUP(Stationary_Combustion[[#This Row],[Fuel]], Custom_EF[], 11,FALSE)&amp;"_to_"&amp;'S1-Stationary Combustion'!H49, Conversions!$B$52:$F$162, Conversions!$E$52, FALSE))*Stationary_Combustion[[#This Row],[Amount of fuel]]/1000), ""))</f>
        <v/>
      </c>
      <c r="L49" s="386" t="str">
        <f>IFERROR(IF(Parameters!$D$19="2014 IPCC Fifth Assessment", (I49*Data!$AJ$5)+(J49*Data!$AJ$6)+(K49*Data!$AJ$7), (I49*Data!$AI$5)+(J49*Data!$AI$6)+(K49*Data!$AI$7)), "")</f>
        <v/>
      </c>
      <c r="M49" s="386" t="str">
        <f>IF(Stationary_Combustion[[#This Row],[Custom Emission Factors?]]="No", _xlfn.IFNA((VLOOKUP(Stationary_Combustion[[#This Row],[Fuel]], EF_Stationary_Combustion[], 6, FALSE)/IF(VLOOKUP(Stationary_Combustion[[#This Row],[Fuel]], EF_Stationary_Combustion[], 9,FALSE) ='S1-Stationary Combustion'!H49, 1, VLOOKUP(VLOOKUP(Stationary_Combustion[[#This Row],[Fuel]], EF_Stationary_Combustion[], 9,FALSE)&amp;"_to_"&amp;'S1-Stationary Combustion'!H49,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Combustion'!H49, 1, VLOOKUP(VLOOKUP(Stationary_Combustion[[#This Row],[Fuel]], Custom_EF[], 10,FALSE)&amp;"_to_"&amp;'S1-Stationary Combustion'!H49, Conversions!$B$52:$F$162, Conversions!$E$52, FALSE))*Stationary_Combustion[[#This Row],[Amount of fuel]]/1000), ""))</f>
        <v/>
      </c>
      <c r="N49" s="388" t="str">
        <f>IF(Stationary_Combustion[[#This Row],[Custom Emission Factors?]]="No", _xlfn.IFNA(VLOOKUP(F49, EF_Stationary_Combustion[], IF(Parameters!$D$19="2014 IPCC Fifth Assessment", 'Emission Factors'!$I$9, 'Emission Factors'!$H$9), FALSE), ""), _xlfn.IFNA(VLOOKUP(Stationary_Combustion[[#This Row],[Fuel]], Custom_EF[], 9, FALSE), ""))</f>
        <v/>
      </c>
      <c r="O49" s="378" t="str">
        <f>IF(Stationary_Combustion[[#This Row],[EF (kgCO2e/unit)]]="", "", IF(Stationary_Combustion[[#This Row],[Custom Emission Factors?]]="Yes", VLOOKUP(Stationary_Combustion[[#This Row],[Fuel]], Custom_EF[], 4, FALSE), VLOOKUP(Stationary_Combustion[[#This Row],[Fuel]], EF_Stationary_Combustion[#All], 10, FALSE)))</f>
        <v/>
      </c>
    </row>
    <row r="50" spans="3:15" ht="15.75">
      <c r="C50" s="688"/>
      <c r="D50" s="689"/>
      <c r="E50" s="689"/>
      <c r="F50" s="689"/>
      <c r="G50" s="690"/>
      <c r="H50" s="689"/>
      <c r="I50" s="386" t="str">
        <f>IF(Stationary_Combustion[[#This Row],[Custom Emission Factors?]]="No", _xlfn.IFNA((VLOOKUP(Stationary_Combustion[[#This Row],[Fuel]], EF_Stationary_Combustion[], 3, FALSE)/IF(VLOOKUP(Stationary_Combustion[[#This Row],[Fuel]], EF_Stationary_Combustion[], 9,FALSE) ='S1-Stationary Combustion'!H50, 1, VLOOKUP(VLOOKUP(Stationary_Combustion[[#This Row],[Fuel]], EF_Stationary_Combustion[], 9,FALSE)&amp;"_to_"&amp;'S1-Stationary Combustion'!H50,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Combustion'!H50, 1, VLOOKUP(VLOOKUP(Stationary_Combustion[[#This Row],[Fuel]], Custom_EF[], 11,FALSE)&amp;"_to_"&amp;'S1-Stationary Combustion'!H50, Conversions!$B$52:$F$162, Conversions!$E$52, FALSE))*Stationary_Combustion[[#This Row],[Amount of fuel]]/1000), ""))</f>
        <v/>
      </c>
      <c r="J50" s="387" t="str">
        <f>IF(Stationary_Combustion[[#This Row],[Custom Emission Factors?]]="No", _xlfn.IFNA((VLOOKUP(Stationary_Combustion[[#This Row],[Fuel]], EF_Stationary_Combustion[], 4, FALSE)/IF(VLOOKUP(Stationary_Combustion[[#This Row],[Fuel]], EF_Stationary_Combustion[], 9,FALSE) ='S1-Stationary Combustion'!H50, 1, VLOOKUP(VLOOKUP(Stationary_Combustion[[#This Row],[Fuel]], EF_Stationary_Combustion[], 9,FALSE)&amp;"_to_"&amp;'S1-Stationary Combustion'!H50,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Combustion'!H50, 1, VLOOKUP(VLOOKUP(Stationary_Combustion[[#This Row],[Fuel]], Custom_EF[], 11,FALSE)&amp;"_to_"&amp;'S1-Stationary Combustion'!H50, Conversions!$B$52:$F$162, Conversions!$E$52, FALSE))*Stationary_Combustion[[#This Row],[Amount of fuel]]/1000), ""))</f>
        <v/>
      </c>
      <c r="K50" s="387" t="str">
        <f>IF(Stationary_Combustion[[#This Row],[Custom Emission Factors?]]="No", _xlfn.IFNA((VLOOKUP(Stationary_Combustion[[#This Row],[Fuel]], EF_Stationary_Combustion[], 5, FALSE)/IF(VLOOKUP(Stationary_Combustion[[#This Row],[Fuel]], EF_Stationary_Combustion[], 9,FALSE) ='S1-Stationary Combustion'!H50, 1, VLOOKUP(VLOOKUP(Stationary_Combustion[[#This Row],[Fuel]], EF_Stationary_Combustion[], 9,FALSE)&amp;"_to_"&amp;'S1-Stationary Combustion'!H50,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Combustion'!H50, 1, VLOOKUP(VLOOKUP(Stationary_Combustion[[#This Row],[Fuel]], Custom_EF[], 11,FALSE)&amp;"_to_"&amp;'S1-Stationary Combustion'!H50, Conversions!$B$52:$F$162, Conversions!$E$52, FALSE))*Stationary_Combustion[[#This Row],[Amount of fuel]]/1000), ""))</f>
        <v/>
      </c>
      <c r="L50" s="386" t="str">
        <f>IFERROR(IF(Parameters!$D$19="2014 IPCC Fifth Assessment", (I50*Data!$AJ$5)+(J50*Data!$AJ$6)+(K50*Data!$AJ$7), (I50*Data!$AI$5)+(J50*Data!$AI$6)+(K50*Data!$AI$7)), "")</f>
        <v/>
      </c>
      <c r="M50" s="386" t="str">
        <f>IF(Stationary_Combustion[[#This Row],[Custom Emission Factors?]]="No", _xlfn.IFNA((VLOOKUP(Stationary_Combustion[[#This Row],[Fuel]], EF_Stationary_Combustion[], 6, FALSE)/IF(VLOOKUP(Stationary_Combustion[[#This Row],[Fuel]], EF_Stationary_Combustion[], 9,FALSE) ='S1-Stationary Combustion'!H50, 1, VLOOKUP(VLOOKUP(Stationary_Combustion[[#This Row],[Fuel]], EF_Stationary_Combustion[], 9,FALSE)&amp;"_to_"&amp;'S1-Stationary Combustion'!H50,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Combustion'!H50, 1, VLOOKUP(VLOOKUP(Stationary_Combustion[[#This Row],[Fuel]], Custom_EF[], 10,FALSE)&amp;"_to_"&amp;'S1-Stationary Combustion'!H50, Conversions!$B$52:$F$162, Conversions!$E$52, FALSE))*Stationary_Combustion[[#This Row],[Amount of fuel]]/1000), ""))</f>
        <v/>
      </c>
      <c r="N50" s="388" t="str">
        <f>IF(Stationary_Combustion[[#This Row],[Custom Emission Factors?]]="No", _xlfn.IFNA(VLOOKUP(F50, EF_Stationary_Combustion[], IF(Parameters!$D$19="2014 IPCC Fifth Assessment", 'Emission Factors'!$I$9, 'Emission Factors'!$H$9), FALSE), ""), _xlfn.IFNA(VLOOKUP(Stationary_Combustion[[#This Row],[Fuel]], Custom_EF[], 9, FALSE), ""))</f>
        <v/>
      </c>
      <c r="O50" s="378" t="str">
        <f>IF(Stationary_Combustion[[#This Row],[EF (kgCO2e/unit)]]="", "", IF(Stationary_Combustion[[#This Row],[Custom Emission Factors?]]="Yes", VLOOKUP(Stationary_Combustion[[#This Row],[Fuel]], Custom_EF[], 4, FALSE), VLOOKUP(Stationary_Combustion[[#This Row],[Fuel]], EF_Stationary_Combustion[#All], 10, FALSE)))</f>
        <v/>
      </c>
    </row>
    <row r="51" spans="3:15">
      <c r="C51" s="383"/>
      <c r="D51" s="384"/>
      <c r="E51" s="384"/>
      <c r="F51" s="384"/>
      <c r="G51" s="385"/>
      <c r="H51" s="384"/>
      <c r="I51" s="386" t="str">
        <f>IF(Stationary_Combustion[[#This Row],[Custom Emission Factors?]]="No", _xlfn.IFNA((VLOOKUP(Stationary_Combustion[[#This Row],[Fuel]], EF_Stationary_Combustion[], 3, FALSE)/IF(VLOOKUP(Stationary_Combustion[[#This Row],[Fuel]], EF_Stationary_Combustion[], 9,FALSE) ='S1-Stationary Combustion'!H51, 1, VLOOKUP(VLOOKUP(Stationary_Combustion[[#This Row],[Fuel]], EF_Stationary_Combustion[], 9,FALSE)&amp;"_to_"&amp;'S1-Stationary Combustion'!H51,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Combustion'!H51, 1, VLOOKUP(VLOOKUP(Stationary_Combustion[[#This Row],[Fuel]], Custom_EF[], 11,FALSE)&amp;"_to_"&amp;'S1-Stationary Combustion'!H51, Conversions!$B$52:$F$162, Conversions!$E$52, FALSE))*Stationary_Combustion[[#This Row],[Amount of fuel]]/1000), ""))</f>
        <v/>
      </c>
      <c r="J51" s="387" t="str">
        <f>IF(Stationary_Combustion[[#This Row],[Custom Emission Factors?]]="No", _xlfn.IFNA((VLOOKUP(Stationary_Combustion[[#This Row],[Fuel]], EF_Stationary_Combustion[], 4, FALSE)/IF(VLOOKUP(Stationary_Combustion[[#This Row],[Fuel]], EF_Stationary_Combustion[], 9,FALSE) ='S1-Stationary Combustion'!H51, 1, VLOOKUP(VLOOKUP(Stationary_Combustion[[#This Row],[Fuel]], EF_Stationary_Combustion[], 9,FALSE)&amp;"_to_"&amp;'S1-Stationary Combustion'!H51,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Combustion'!H51, 1, VLOOKUP(VLOOKUP(Stationary_Combustion[[#This Row],[Fuel]], Custom_EF[], 11,FALSE)&amp;"_to_"&amp;'S1-Stationary Combustion'!H51, Conversions!$B$52:$F$162, Conversions!$E$52, FALSE))*Stationary_Combustion[[#This Row],[Amount of fuel]]/1000), ""))</f>
        <v/>
      </c>
      <c r="K51" s="387" t="str">
        <f>IF(Stationary_Combustion[[#This Row],[Custom Emission Factors?]]="No", _xlfn.IFNA((VLOOKUP(Stationary_Combustion[[#This Row],[Fuel]], EF_Stationary_Combustion[], 5, FALSE)/IF(VLOOKUP(Stationary_Combustion[[#This Row],[Fuel]], EF_Stationary_Combustion[], 9,FALSE) ='S1-Stationary Combustion'!H51, 1, VLOOKUP(VLOOKUP(Stationary_Combustion[[#This Row],[Fuel]], EF_Stationary_Combustion[], 9,FALSE)&amp;"_to_"&amp;'S1-Stationary Combustion'!H51,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Combustion'!H51, 1, VLOOKUP(VLOOKUP(Stationary_Combustion[[#This Row],[Fuel]], Custom_EF[], 11,FALSE)&amp;"_to_"&amp;'S1-Stationary Combustion'!H51, Conversions!$B$52:$F$162, Conversions!$E$52, FALSE))*Stationary_Combustion[[#This Row],[Amount of fuel]]/1000), ""))</f>
        <v/>
      </c>
      <c r="L51" s="386" t="str">
        <f>IFERROR(IF(Parameters!$D$19="2014 IPCC Fifth Assessment", (I51*Data!$AJ$5)+(J51*Data!$AJ$6)+(K51*Data!$AJ$7), (I51*Data!$AI$5)+(J51*Data!$AI$6)+(K51*Data!$AI$7)), "")</f>
        <v/>
      </c>
      <c r="M51" s="386" t="str">
        <f>IF(Stationary_Combustion[[#This Row],[Custom Emission Factors?]]="No", _xlfn.IFNA((VLOOKUP(Stationary_Combustion[[#This Row],[Fuel]], EF_Stationary_Combustion[], 6, FALSE)/IF(VLOOKUP(Stationary_Combustion[[#This Row],[Fuel]], EF_Stationary_Combustion[], 9,FALSE) ='S1-Stationary Combustion'!H51, 1, VLOOKUP(VLOOKUP(Stationary_Combustion[[#This Row],[Fuel]], EF_Stationary_Combustion[], 9,FALSE)&amp;"_to_"&amp;'S1-Stationary Combustion'!H51,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Combustion'!H51, 1, VLOOKUP(VLOOKUP(Stationary_Combustion[[#This Row],[Fuel]], Custom_EF[], 10,FALSE)&amp;"_to_"&amp;'S1-Stationary Combustion'!H51, Conversions!$B$52:$F$162, Conversions!$E$52, FALSE))*Stationary_Combustion[[#This Row],[Amount of fuel]]/1000), ""))</f>
        <v/>
      </c>
      <c r="N51" s="388" t="str">
        <f>IF(Stationary_Combustion[[#This Row],[Custom Emission Factors?]]="No", _xlfn.IFNA(VLOOKUP(F51, EF_Stationary_Combustion[], IF(Parameters!$D$19="2014 IPCC Fifth Assessment", 'Emission Factors'!$I$9, 'Emission Factors'!$H$9), FALSE), ""), _xlfn.IFNA(VLOOKUP(Stationary_Combustion[[#This Row],[Fuel]], Custom_EF[], 9, FALSE), ""))</f>
        <v/>
      </c>
      <c r="O51" s="378" t="str">
        <f>IF(Stationary_Combustion[[#This Row],[EF (kgCO2e/unit)]]="", "", IF(Stationary_Combustion[[#This Row],[Custom Emission Factors?]]="Yes", VLOOKUP(Stationary_Combustion[[#This Row],[Fuel]], Custom_EF[], 4, FALSE), VLOOKUP(Stationary_Combustion[[#This Row],[Fuel]], EF_Stationary_Combustion[#All], 10, FALSE)))</f>
        <v/>
      </c>
    </row>
    <row r="52" spans="3:15">
      <c r="C52" s="383"/>
      <c r="D52" s="384"/>
      <c r="E52" s="384"/>
      <c r="F52" s="384"/>
      <c r="G52" s="385"/>
      <c r="H52" s="384"/>
      <c r="I52" s="386" t="str">
        <f>IF(Stationary_Combustion[[#This Row],[Custom Emission Factors?]]="No", _xlfn.IFNA((VLOOKUP(Stationary_Combustion[[#This Row],[Fuel]], EF_Stationary_Combustion[], 3, FALSE)/IF(VLOOKUP(Stationary_Combustion[[#This Row],[Fuel]], EF_Stationary_Combustion[], 9,FALSE) ='S1-Stationary Combustion'!H52, 1, VLOOKUP(VLOOKUP(Stationary_Combustion[[#This Row],[Fuel]], EF_Stationary_Combustion[], 9,FALSE)&amp;"_to_"&amp;'S1-Stationary Combustion'!H52,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Combustion'!H52, 1, VLOOKUP(VLOOKUP(Stationary_Combustion[[#This Row],[Fuel]], Custom_EF[], 11,FALSE)&amp;"_to_"&amp;'S1-Stationary Combustion'!H52, Conversions!$B$52:$F$162, Conversions!$E$52, FALSE))*Stationary_Combustion[[#This Row],[Amount of fuel]]/1000), ""))</f>
        <v/>
      </c>
      <c r="J52" s="387" t="str">
        <f>IF(Stationary_Combustion[[#This Row],[Custom Emission Factors?]]="No", _xlfn.IFNA((VLOOKUP(Stationary_Combustion[[#This Row],[Fuel]], EF_Stationary_Combustion[], 4, FALSE)/IF(VLOOKUP(Stationary_Combustion[[#This Row],[Fuel]], EF_Stationary_Combustion[], 9,FALSE) ='S1-Stationary Combustion'!H52, 1, VLOOKUP(VLOOKUP(Stationary_Combustion[[#This Row],[Fuel]], EF_Stationary_Combustion[], 9,FALSE)&amp;"_to_"&amp;'S1-Stationary Combustion'!H52,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Combustion'!H52, 1, VLOOKUP(VLOOKUP(Stationary_Combustion[[#This Row],[Fuel]], Custom_EF[], 11,FALSE)&amp;"_to_"&amp;'S1-Stationary Combustion'!H52, Conversions!$B$52:$F$162, Conversions!$E$52, FALSE))*Stationary_Combustion[[#This Row],[Amount of fuel]]/1000), ""))</f>
        <v/>
      </c>
      <c r="K52" s="387" t="str">
        <f>IF(Stationary_Combustion[[#This Row],[Custom Emission Factors?]]="No", _xlfn.IFNA((VLOOKUP(Stationary_Combustion[[#This Row],[Fuel]], EF_Stationary_Combustion[], 5, FALSE)/IF(VLOOKUP(Stationary_Combustion[[#This Row],[Fuel]], EF_Stationary_Combustion[], 9,FALSE) ='S1-Stationary Combustion'!H52, 1, VLOOKUP(VLOOKUP(Stationary_Combustion[[#This Row],[Fuel]], EF_Stationary_Combustion[], 9,FALSE)&amp;"_to_"&amp;'S1-Stationary Combustion'!H52,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Combustion'!H52, 1, VLOOKUP(VLOOKUP(Stationary_Combustion[[#This Row],[Fuel]], Custom_EF[], 11,FALSE)&amp;"_to_"&amp;'S1-Stationary Combustion'!H52, Conversions!$B$52:$F$162, Conversions!$E$52, FALSE))*Stationary_Combustion[[#This Row],[Amount of fuel]]/1000), ""))</f>
        <v/>
      </c>
      <c r="L52" s="386" t="str">
        <f>IFERROR(IF(Parameters!$D$19="2014 IPCC Fifth Assessment", (I52*Data!$AJ$5)+(J52*Data!$AJ$6)+(K52*Data!$AJ$7), (I52*Data!$AI$5)+(J52*Data!$AI$6)+(K52*Data!$AI$7)), "")</f>
        <v/>
      </c>
      <c r="M52" s="386" t="str">
        <f>IF(Stationary_Combustion[[#This Row],[Custom Emission Factors?]]="No", _xlfn.IFNA((VLOOKUP(Stationary_Combustion[[#This Row],[Fuel]], EF_Stationary_Combustion[], 6, FALSE)/IF(VLOOKUP(Stationary_Combustion[[#This Row],[Fuel]], EF_Stationary_Combustion[], 9,FALSE) ='S1-Stationary Combustion'!H52, 1, VLOOKUP(VLOOKUP(Stationary_Combustion[[#This Row],[Fuel]], EF_Stationary_Combustion[], 9,FALSE)&amp;"_to_"&amp;'S1-Stationary Combustion'!H52,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Combustion'!H52, 1, VLOOKUP(VLOOKUP(Stationary_Combustion[[#This Row],[Fuel]], Custom_EF[], 10,FALSE)&amp;"_to_"&amp;'S1-Stationary Combustion'!H52, Conversions!$B$52:$F$162, Conversions!$E$52, FALSE))*Stationary_Combustion[[#This Row],[Amount of fuel]]/1000), ""))</f>
        <v/>
      </c>
      <c r="N52" s="388" t="str">
        <f>IF(Stationary_Combustion[[#This Row],[Custom Emission Factors?]]="No", _xlfn.IFNA(VLOOKUP(F52, EF_Stationary_Combustion[], IF(Parameters!$D$19="2014 IPCC Fifth Assessment", 'Emission Factors'!$I$9, 'Emission Factors'!$H$9), FALSE), ""), _xlfn.IFNA(VLOOKUP(Stationary_Combustion[[#This Row],[Fuel]], Custom_EF[], 9, FALSE), ""))</f>
        <v/>
      </c>
      <c r="O52" s="378" t="str">
        <f>IF(Stationary_Combustion[[#This Row],[EF (kgCO2e/unit)]]="", "", IF(Stationary_Combustion[[#This Row],[Custom Emission Factors?]]="Yes", VLOOKUP(Stationary_Combustion[[#This Row],[Fuel]], Custom_EF[], 4, FALSE), VLOOKUP(Stationary_Combustion[[#This Row],[Fuel]], EF_Stationary_Combustion[#All], 10, FALSE)))</f>
        <v/>
      </c>
    </row>
    <row r="53" spans="3:15">
      <c r="C53" s="383"/>
      <c r="D53" s="384"/>
      <c r="E53" s="384"/>
      <c r="F53" s="384"/>
      <c r="G53" s="385"/>
      <c r="H53" s="384"/>
      <c r="I53" s="386" t="str">
        <f>IF(Stationary_Combustion[[#This Row],[Custom Emission Factors?]]="No", _xlfn.IFNA((VLOOKUP(Stationary_Combustion[[#This Row],[Fuel]], EF_Stationary_Combustion[], 3, FALSE)/IF(VLOOKUP(Stationary_Combustion[[#This Row],[Fuel]], EF_Stationary_Combustion[], 9,FALSE) ='S1-Stationary Combustion'!H53, 1, VLOOKUP(VLOOKUP(Stationary_Combustion[[#This Row],[Fuel]], EF_Stationary_Combustion[], 9,FALSE)&amp;"_to_"&amp;'S1-Stationary Combustion'!H53,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Combustion'!H53, 1, VLOOKUP(VLOOKUP(Stationary_Combustion[[#This Row],[Fuel]], Custom_EF[], 11,FALSE)&amp;"_to_"&amp;'S1-Stationary Combustion'!H53, Conversions!$B$52:$F$162, Conversions!$E$52, FALSE))*Stationary_Combustion[[#This Row],[Amount of fuel]]/1000), ""))</f>
        <v/>
      </c>
      <c r="J53" s="387" t="str">
        <f>IF(Stationary_Combustion[[#This Row],[Custom Emission Factors?]]="No", _xlfn.IFNA((VLOOKUP(Stationary_Combustion[[#This Row],[Fuel]], EF_Stationary_Combustion[], 4, FALSE)/IF(VLOOKUP(Stationary_Combustion[[#This Row],[Fuel]], EF_Stationary_Combustion[], 9,FALSE) ='S1-Stationary Combustion'!H53, 1, VLOOKUP(VLOOKUP(Stationary_Combustion[[#This Row],[Fuel]], EF_Stationary_Combustion[], 9,FALSE)&amp;"_to_"&amp;'S1-Stationary Combustion'!H53,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Combustion'!H53, 1, VLOOKUP(VLOOKUP(Stationary_Combustion[[#This Row],[Fuel]], Custom_EF[], 11,FALSE)&amp;"_to_"&amp;'S1-Stationary Combustion'!H53, Conversions!$B$52:$F$162, Conversions!$E$52, FALSE))*Stationary_Combustion[[#This Row],[Amount of fuel]]/1000), ""))</f>
        <v/>
      </c>
      <c r="K53" s="387" t="str">
        <f>IF(Stationary_Combustion[[#This Row],[Custom Emission Factors?]]="No", _xlfn.IFNA((VLOOKUP(Stationary_Combustion[[#This Row],[Fuel]], EF_Stationary_Combustion[], 5, FALSE)/IF(VLOOKUP(Stationary_Combustion[[#This Row],[Fuel]], EF_Stationary_Combustion[], 9,FALSE) ='S1-Stationary Combustion'!H53, 1, VLOOKUP(VLOOKUP(Stationary_Combustion[[#This Row],[Fuel]], EF_Stationary_Combustion[], 9,FALSE)&amp;"_to_"&amp;'S1-Stationary Combustion'!H53,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Combustion'!H53, 1, VLOOKUP(VLOOKUP(Stationary_Combustion[[#This Row],[Fuel]], Custom_EF[], 11,FALSE)&amp;"_to_"&amp;'S1-Stationary Combustion'!H53, Conversions!$B$52:$F$162, Conversions!$E$52, FALSE))*Stationary_Combustion[[#This Row],[Amount of fuel]]/1000), ""))</f>
        <v/>
      </c>
      <c r="L53" s="386" t="str">
        <f>IFERROR(IF(Parameters!$D$19="2014 IPCC Fifth Assessment", (I53*Data!$AJ$5)+(J53*Data!$AJ$6)+(K53*Data!$AJ$7), (I53*Data!$AI$5)+(J53*Data!$AI$6)+(K53*Data!$AI$7)), "")</f>
        <v/>
      </c>
      <c r="M53" s="386" t="str">
        <f>IF(Stationary_Combustion[[#This Row],[Custom Emission Factors?]]="No", _xlfn.IFNA((VLOOKUP(Stationary_Combustion[[#This Row],[Fuel]], EF_Stationary_Combustion[], 6, FALSE)/IF(VLOOKUP(Stationary_Combustion[[#This Row],[Fuel]], EF_Stationary_Combustion[], 9,FALSE) ='S1-Stationary Combustion'!H53, 1, VLOOKUP(VLOOKUP(Stationary_Combustion[[#This Row],[Fuel]], EF_Stationary_Combustion[], 9,FALSE)&amp;"_to_"&amp;'S1-Stationary Combustion'!H53,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Combustion'!H53, 1, VLOOKUP(VLOOKUP(Stationary_Combustion[[#This Row],[Fuel]], Custom_EF[], 10,FALSE)&amp;"_to_"&amp;'S1-Stationary Combustion'!H53, Conversions!$B$52:$F$162, Conversions!$E$52, FALSE))*Stationary_Combustion[[#This Row],[Amount of fuel]]/1000), ""))</f>
        <v/>
      </c>
      <c r="N53" s="388" t="str">
        <f>IF(Stationary_Combustion[[#This Row],[Custom Emission Factors?]]="No", _xlfn.IFNA(VLOOKUP(F53, EF_Stationary_Combustion[], IF(Parameters!$D$19="2014 IPCC Fifth Assessment", 'Emission Factors'!$I$9, 'Emission Factors'!$H$9), FALSE), ""), _xlfn.IFNA(VLOOKUP(Stationary_Combustion[[#This Row],[Fuel]], Custom_EF[], 9, FALSE), ""))</f>
        <v/>
      </c>
      <c r="O53" s="378" t="str">
        <f>IF(Stationary_Combustion[[#This Row],[EF (kgCO2e/unit)]]="", "", IF(Stationary_Combustion[[#This Row],[Custom Emission Factors?]]="Yes", VLOOKUP(Stationary_Combustion[[#This Row],[Fuel]], Custom_EF[], 4, FALSE), VLOOKUP(Stationary_Combustion[[#This Row],[Fuel]], EF_Stationary_Combustion[#All], 10, FALSE)))</f>
        <v/>
      </c>
    </row>
    <row r="54" spans="3:15">
      <c r="C54" s="383"/>
      <c r="D54" s="384"/>
      <c r="E54" s="384"/>
      <c r="F54" s="384"/>
      <c r="G54" s="385"/>
      <c r="H54" s="384"/>
      <c r="I54" s="386" t="str">
        <f>IF(Stationary_Combustion[[#This Row],[Custom Emission Factors?]]="No", _xlfn.IFNA((VLOOKUP(Stationary_Combustion[[#This Row],[Fuel]], EF_Stationary_Combustion[], 3, FALSE)/IF(VLOOKUP(Stationary_Combustion[[#This Row],[Fuel]], EF_Stationary_Combustion[], 9,FALSE) ='S1-Stationary Combustion'!H54, 1, VLOOKUP(VLOOKUP(Stationary_Combustion[[#This Row],[Fuel]], EF_Stationary_Combustion[], 9,FALSE)&amp;"_to_"&amp;'S1-Stationary Combustion'!H54,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Combustion'!H54, 1, VLOOKUP(VLOOKUP(Stationary_Combustion[[#This Row],[Fuel]], Custom_EF[], 11,FALSE)&amp;"_to_"&amp;'S1-Stationary Combustion'!H54, Conversions!$B$52:$F$162, Conversions!$E$52, FALSE))*Stationary_Combustion[[#This Row],[Amount of fuel]]/1000), ""))</f>
        <v/>
      </c>
      <c r="J54" s="387" t="str">
        <f>IF(Stationary_Combustion[[#This Row],[Custom Emission Factors?]]="No", _xlfn.IFNA((VLOOKUP(Stationary_Combustion[[#This Row],[Fuel]], EF_Stationary_Combustion[], 4, FALSE)/IF(VLOOKUP(Stationary_Combustion[[#This Row],[Fuel]], EF_Stationary_Combustion[], 9,FALSE) ='S1-Stationary Combustion'!H54, 1, VLOOKUP(VLOOKUP(Stationary_Combustion[[#This Row],[Fuel]], EF_Stationary_Combustion[], 9,FALSE)&amp;"_to_"&amp;'S1-Stationary Combustion'!H54,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Combustion'!H54, 1, VLOOKUP(VLOOKUP(Stationary_Combustion[[#This Row],[Fuel]], Custom_EF[], 11,FALSE)&amp;"_to_"&amp;'S1-Stationary Combustion'!H54, Conversions!$B$52:$F$162, Conversions!$E$52, FALSE))*Stationary_Combustion[[#This Row],[Amount of fuel]]/1000), ""))</f>
        <v/>
      </c>
      <c r="K54" s="387" t="str">
        <f>IF(Stationary_Combustion[[#This Row],[Custom Emission Factors?]]="No", _xlfn.IFNA((VLOOKUP(Stationary_Combustion[[#This Row],[Fuel]], EF_Stationary_Combustion[], 5, FALSE)/IF(VLOOKUP(Stationary_Combustion[[#This Row],[Fuel]], EF_Stationary_Combustion[], 9,FALSE) ='S1-Stationary Combustion'!H54, 1, VLOOKUP(VLOOKUP(Stationary_Combustion[[#This Row],[Fuel]], EF_Stationary_Combustion[], 9,FALSE)&amp;"_to_"&amp;'S1-Stationary Combustion'!H54,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Combustion'!H54, 1, VLOOKUP(VLOOKUP(Stationary_Combustion[[#This Row],[Fuel]], Custom_EF[], 11,FALSE)&amp;"_to_"&amp;'S1-Stationary Combustion'!H54, Conversions!$B$52:$F$162, Conversions!$E$52, FALSE))*Stationary_Combustion[[#This Row],[Amount of fuel]]/1000), ""))</f>
        <v/>
      </c>
      <c r="L54" s="386" t="str">
        <f>IFERROR(IF(Parameters!$D$19="2014 IPCC Fifth Assessment", (I54*Data!$AJ$5)+(J54*Data!$AJ$6)+(K54*Data!$AJ$7), (I54*Data!$AI$5)+(J54*Data!$AI$6)+(K54*Data!$AI$7)), "")</f>
        <v/>
      </c>
      <c r="M54" s="386" t="str">
        <f>IF(Stationary_Combustion[[#This Row],[Custom Emission Factors?]]="No", _xlfn.IFNA((VLOOKUP(Stationary_Combustion[[#This Row],[Fuel]], EF_Stationary_Combustion[], 6, FALSE)/IF(VLOOKUP(Stationary_Combustion[[#This Row],[Fuel]], EF_Stationary_Combustion[], 9,FALSE) ='S1-Stationary Combustion'!H54, 1, VLOOKUP(VLOOKUP(Stationary_Combustion[[#This Row],[Fuel]], EF_Stationary_Combustion[], 9,FALSE)&amp;"_to_"&amp;'S1-Stationary Combustion'!H54,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Combustion'!H54, 1, VLOOKUP(VLOOKUP(Stationary_Combustion[[#This Row],[Fuel]], Custom_EF[], 10,FALSE)&amp;"_to_"&amp;'S1-Stationary Combustion'!H54, Conversions!$B$52:$F$162, Conversions!$E$52, FALSE))*Stationary_Combustion[[#This Row],[Amount of fuel]]/1000), ""))</f>
        <v/>
      </c>
      <c r="N54" s="388" t="str">
        <f>IF(Stationary_Combustion[[#This Row],[Custom Emission Factors?]]="No", _xlfn.IFNA(VLOOKUP(F54, EF_Stationary_Combustion[], IF(Parameters!$D$19="2014 IPCC Fifth Assessment", 'Emission Factors'!$I$9, 'Emission Factors'!$H$9), FALSE), ""), _xlfn.IFNA(VLOOKUP(Stationary_Combustion[[#This Row],[Fuel]], Custom_EF[], 9, FALSE), ""))</f>
        <v/>
      </c>
      <c r="O54" s="378" t="str">
        <f>IF(Stationary_Combustion[[#This Row],[EF (kgCO2e/unit)]]="", "", IF(Stationary_Combustion[[#This Row],[Custom Emission Factors?]]="Yes", VLOOKUP(Stationary_Combustion[[#This Row],[Fuel]], Custom_EF[], 4, FALSE), VLOOKUP(Stationary_Combustion[[#This Row],[Fuel]], EF_Stationary_Combustion[#All], 10, FALSE)))</f>
        <v/>
      </c>
    </row>
    <row r="55" spans="3:15">
      <c r="C55" s="383"/>
      <c r="D55" s="384"/>
      <c r="E55" s="384"/>
      <c r="F55" s="384"/>
      <c r="G55" s="385"/>
      <c r="H55" s="384"/>
      <c r="I55" s="386" t="str">
        <f>IF(Stationary_Combustion[[#This Row],[Custom Emission Factors?]]="No", _xlfn.IFNA((VLOOKUP(Stationary_Combustion[[#This Row],[Fuel]], EF_Stationary_Combustion[], 3, FALSE)/IF(VLOOKUP(Stationary_Combustion[[#This Row],[Fuel]], EF_Stationary_Combustion[], 9,FALSE) ='S1-Stationary Combustion'!H55, 1, VLOOKUP(VLOOKUP(Stationary_Combustion[[#This Row],[Fuel]], EF_Stationary_Combustion[], 9,FALSE)&amp;"_to_"&amp;'S1-Stationary Combustion'!H55,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Combustion'!H55, 1, VLOOKUP(VLOOKUP(Stationary_Combustion[[#This Row],[Fuel]], Custom_EF[], 11,FALSE)&amp;"_to_"&amp;'S1-Stationary Combustion'!H55, Conversions!$B$52:$F$162, Conversions!$E$52, FALSE))*Stationary_Combustion[[#This Row],[Amount of fuel]]/1000), ""))</f>
        <v/>
      </c>
      <c r="J55" s="387" t="str">
        <f>IF(Stationary_Combustion[[#This Row],[Custom Emission Factors?]]="No", _xlfn.IFNA((VLOOKUP(Stationary_Combustion[[#This Row],[Fuel]], EF_Stationary_Combustion[], 4, FALSE)/IF(VLOOKUP(Stationary_Combustion[[#This Row],[Fuel]], EF_Stationary_Combustion[], 9,FALSE) ='S1-Stationary Combustion'!H55, 1, VLOOKUP(VLOOKUP(Stationary_Combustion[[#This Row],[Fuel]], EF_Stationary_Combustion[], 9,FALSE)&amp;"_to_"&amp;'S1-Stationary Combustion'!H55,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Combustion'!H55, 1, VLOOKUP(VLOOKUP(Stationary_Combustion[[#This Row],[Fuel]], Custom_EF[], 11,FALSE)&amp;"_to_"&amp;'S1-Stationary Combustion'!H55, Conversions!$B$52:$F$162, Conversions!$E$52, FALSE))*Stationary_Combustion[[#This Row],[Amount of fuel]]/1000), ""))</f>
        <v/>
      </c>
      <c r="K55" s="387" t="str">
        <f>IF(Stationary_Combustion[[#This Row],[Custom Emission Factors?]]="No", _xlfn.IFNA((VLOOKUP(Stationary_Combustion[[#This Row],[Fuel]], EF_Stationary_Combustion[], 5, FALSE)/IF(VLOOKUP(Stationary_Combustion[[#This Row],[Fuel]], EF_Stationary_Combustion[], 9,FALSE) ='S1-Stationary Combustion'!H55, 1, VLOOKUP(VLOOKUP(Stationary_Combustion[[#This Row],[Fuel]], EF_Stationary_Combustion[], 9,FALSE)&amp;"_to_"&amp;'S1-Stationary Combustion'!H55,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Combustion'!H55, 1, VLOOKUP(VLOOKUP(Stationary_Combustion[[#This Row],[Fuel]], Custom_EF[], 11,FALSE)&amp;"_to_"&amp;'S1-Stationary Combustion'!H55, Conversions!$B$52:$F$162, Conversions!$E$52, FALSE))*Stationary_Combustion[[#This Row],[Amount of fuel]]/1000), ""))</f>
        <v/>
      </c>
      <c r="L55" s="386" t="str">
        <f>IFERROR(IF(Parameters!$D$19="2014 IPCC Fifth Assessment", (I55*Data!$AJ$5)+(J55*Data!$AJ$6)+(K55*Data!$AJ$7), (I55*Data!$AI$5)+(J55*Data!$AI$6)+(K55*Data!$AI$7)), "")</f>
        <v/>
      </c>
      <c r="M55" s="386" t="str">
        <f>IF(Stationary_Combustion[[#This Row],[Custom Emission Factors?]]="No", _xlfn.IFNA((VLOOKUP(Stationary_Combustion[[#This Row],[Fuel]], EF_Stationary_Combustion[], 6, FALSE)/IF(VLOOKUP(Stationary_Combustion[[#This Row],[Fuel]], EF_Stationary_Combustion[], 9,FALSE) ='S1-Stationary Combustion'!H55, 1, VLOOKUP(VLOOKUP(Stationary_Combustion[[#This Row],[Fuel]], EF_Stationary_Combustion[], 9,FALSE)&amp;"_to_"&amp;'S1-Stationary Combustion'!H55,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Combustion'!H55, 1, VLOOKUP(VLOOKUP(Stationary_Combustion[[#This Row],[Fuel]], Custom_EF[], 10,FALSE)&amp;"_to_"&amp;'S1-Stationary Combustion'!H55, Conversions!$B$52:$F$162, Conversions!$E$52, FALSE))*Stationary_Combustion[[#This Row],[Amount of fuel]]/1000), ""))</f>
        <v/>
      </c>
      <c r="N55" s="388" t="str">
        <f>IF(Stationary_Combustion[[#This Row],[Custom Emission Factors?]]="No", _xlfn.IFNA(VLOOKUP(F55, EF_Stationary_Combustion[], IF(Parameters!$D$19="2014 IPCC Fifth Assessment", 'Emission Factors'!$I$9, 'Emission Factors'!$H$9), FALSE), ""), _xlfn.IFNA(VLOOKUP(Stationary_Combustion[[#This Row],[Fuel]], Custom_EF[], 9, FALSE), ""))</f>
        <v/>
      </c>
      <c r="O55" s="378" t="str">
        <f>IF(Stationary_Combustion[[#This Row],[EF (kgCO2e/unit)]]="", "", IF(Stationary_Combustion[[#This Row],[Custom Emission Factors?]]="Yes", VLOOKUP(Stationary_Combustion[[#This Row],[Fuel]], Custom_EF[], 4, FALSE), VLOOKUP(Stationary_Combustion[[#This Row],[Fuel]], EF_Stationary_Combustion[#All], 10, FALSE)))</f>
        <v/>
      </c>
    </row>
    <row r="56" spans="3:15">
      <c r="C56" s="383"/>
      <c r="D56" s="384"/>
      <c r="E56" s="384"/>
      <c r="F56" s="384"/>
      <c r="G56" s="385"/>
      <c r="H56" s="384"/>
      <c r="I56" s="386" t="str">
        <f>IF(Stationary_Combustion[[#This Row],[Custom Emission Factors?]]="No", _xlfn.IFNA((VLOOKUP(Stationary_Combustion[[#This Row],[Fuel]], EF_Stationary_Combustion[], 3, FALSE)/IF(VLOOKUP(Stationary_Combustion[[#This Row],[Fuel]], EF_Stationary_Combustion[], 9,FALSE) ='S1-Stationary Combustion'!H56, 1, VLOOKUP(VLOOKUP(Stationary_Combustion[[#This Row],[Fuel]], EF_Stationary_Combustion[], 9,FALSE)&amp;"_to_"&amp;'S1-Stationary Combustion'!H56,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Combustion'!H56, 1, VLOOKUP(VLOOKUP(Stationary_Combustion[[#This Row],[Fuel]], Custom_EF[], 11,FALSE)&amp;"_to_"&amp;'S1-Stationary Combustion'!H56, Conversions!$B$52:$F$162, Conversions!$E$52, FALSE))*Stationary_Combustion[[#This Row],[Amount of fuel]]/1000), ""))</f>
        <v/>
      </c>
      <c r="J56" s="387" t="str">
        <f>IF(Stationary_Combustion[[#This Row],[Custom Emission Factors?]]="No", _xlfn.IFNA((VLOOKUP(Stationary_Combustion[[#This Row],[Fuel]], EF_Stationary_Combustion[], 4, FALSE)/IF(VLOOKUP(Stationary_Combustion[[#This Row],[Fuel]], EF_Stationary_Combustion[], 9,FALSE) ='S1-Stationary Combustion'!H56, 1, VLOOKUP(VLOOKUP(Stationary_Combustion[[#This Row],[Fuel]], EF_Stationary_Combustion[], 9,FALSE)&amp;"_to_"&amp;'S1-Stationary Combustion'!H56,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Combustion'!H56, 1, VLOOKUP(VLOOKUP(Stationary_Combustion[[#This Row],[Fuel]], Custom_EF[], 11,FALSE)&amp;"_to_"&amp;'S1-Stationary Combustion'!H56, Conversions!$B$52:$F$162, Conversions!$E$52, FALSE))*Stationary_Combustion[[#This Row],[Amount of fuel]]/1000), ""))</f>
        <v/>
      </c>
      <c r="K56" s="387" t="str">
        <f>IF(Stationary_Combustion[[#This Row],[Custom Emission Factors?]]="No", _xlfn.IFNA((VLOOKUP(Stationary_Combustion[[#This Row],[Fuel]], EF_Stationary_Combustion[], 5, FALSE)/IF(VLOOKUP(Stationary_Combustion[[#This Row],[Fuel]], EF_Stationary_Combustion[], 9,FALSE) ='S1-Stationary Combustion'!H56, 1, VLOOKUP(VLOOKUP(Stationary_Combustion[[#This Row],[Fuel]], EF_Stationary_Combustion[], 9,FALSE)&amp;"_to_"&amp;'S1-Stationary Combustion'!H56,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Combustion'!H56, 1, VLOOKUP(VLOOKUP(Stationary_Combustion[[#This Row],[Fuel]], Custom_EF[], 11,FALSE)&amp;"_to_"&amp;'S1-Stationary Combustion'!H56, Conversions!$B$52:$F$162, Conversions!$E$52, FALSE))*Stationary_Combustion[[#This Row],[Amount of fuel]]/1000), ""))</f>
        <v/>
      </c>
      <c r="L56" s="386" t="str">
        <f>IFERROR(IF(Parameters!$D$19="2014 IPCC Fifth Assessment", (I56*Data!$AJ$5)+(J56*Data!$AJ$6)+(K56*Data!$AJ$7), (I56*Data!$AI$5)+(J56*Data!$AI$6)+(K56*Data!$AI$7)), "")</f>
        <v/>
      </c>
      <c r="M56" s="386" t="str">
        <f>IF(Stationary_Combustion[[#This Row],[Custom Emission Factors?]]="No", _xlfn.IFNA((VLOOKUP(Stationary_Combustion[[#This Row],[Fuel]], EF_Stationary_Combustion[], 6, FALSE)/IF(VLOOKUP(Stationary_Combustion[[#This Row],[Fuel]], EF_Stationary_Combustion[], 9,FALSE) ='S1-Stationary Combustion'!H56, 1, VLOOKUP(VLOOKUP(Stationary_Combustion[[#This Row],[Fuel]], EF_Stationary_Combustion[], 9,FALSE)&amp;"_to_"&amp;'S1-Stationary Combustion'!H56,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Combustion'!H56, 1, VLOOKUP(VLOOKUP(Stationary_Combustion[[#This Row],[Fuel]], Custom_EF[], 10,FALSE)&amp;"_to_"&amp;'S1-Stationary Combustion'!H56, Conversions!$B$52:$F$162, Conversions!$E$52, FALSE))*Stationary_Combustion[[#This Row],[Amount of fuel]]/1000), ""))</f>
        <v/>
      </c>
      <c r="N56" s="388" t="str">
        <f>IF(Stationary_Combustion[[#This Row],[Custom Emission Factors?]]="No", _xlfn.IFNA(VLOOKUP(F56, EF_Stationary_Combustion[], IF(Parameters!$D$19="2014 IPCC Fifth Assessment", 'Emission Factors'!$I$9, 'Emission Factors'!$H$9), FALSE), ""), _xlfn.IFNA(VLOOKUP(Stationary_Combustion[[#This Row],[Fuel]], Custom_EF[], 9, FALSE), ""))</f>
        <v/>
      </c>
      <c r="O56" s="378" t="str">
        <f>IF(Stationary_Combustion[[#This Row],[EF (kgCO2e/unit)]]="", "", IF(Stationary_Combustion[[#This Row],[Custom Emission Factors?]]="Yes", VLOOKUP(Stationary_Combustion[[#This Row],[Fuel]], Custom_EF[], 4, FALSE), VLOOKUP(Stationary_Combustion[[#This Row],[Fuel]], EF_Stationary_Combustion[#All], 10, FALSE)))</f>
        <v/>
      </c>
    </row>
    <row r="57" spans="3:15">
      <c r="C57" s="383"/>
      <c r="D57" s="384"/>
      <c r="E57" s="384"/>
      <c r="F57" s="384"/>
      <c r="G57" s="385"/>
      <c r="H57" s="384"/>
      <c r="I57" s="386" t="str">
        <f>IF(Stationary_Combustion[[#This Row],[Custom Emission Factors?]]="No", _xlfn.IFNA((VLOOKUP(Stationary_Combustion[[#This Row],[Fuel]], EF_Stationary_Combustion[], 3, FALSE)/IF(VLOOKUP(Stationary_Combustion[[#This Row],[Fuel]], EF_Stationary_Combustion[], 9,FALSE) ='S1-Stationary Combustion'!H57, 1, VLOOKUP(VLOOKUP(Stationary_Combustion[[#This Row],[Fuel]], EF_Stationary_Combustion[], 9,FALSE)&amp;"_to_"&amp;'S1-Stationary Combustion'!H57,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Combustion'!H57, 1, VLOOKUP(VLOOKUP(Stationary_Combustion[[#This Row],[Fuel]], Custom_EF[], 11,FALSE)&amp;"_to_"&amp;'S1-Stationary Combustion'!H57, Conversions!$B$52:$F$162, Conversions!$E$52, FALSE))*Stationary_Combustion[[#This Row],[Amount of fuel]]/1000), ""))</f>
        <v/>
      </c>
      <c r="J57" s="387" t="str">
        <f>IF(Stationary_Combustion[[#This Row],[Custom Emission Factors?]]="No", _xlfn.IFNA((VLOOKUP(Stationary_Combustion[[#This Row],[Fuel]], EF_Stationary_Combustion[], 4, FALSE)/IF(VLOOKUP(Stationary_Combustion[[#This Row],[Fuel]], EF_Stationary_Combustion[], 9,FALSE) ='S1-Stationary Combustion'!H57, 1, VLOOKUP(VLOOKUP(Stationary_Combustion[[#This Row],[Fuel]], EF_Stationary_Combustion[], 9,FALSE)&amp;"_to_"&amp;'S1-Stationary Combustion'!H57,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Combustion'!H57, 1, VLOOKUP(VLOOKUP(Stationary_Combustion[[#This Row],[Fuel]], Custom_EF[], 11,FALSE)&amp;"_to_"&amp;'S1-Stationary Combustion'!H57, Conversions!$B$52:$F$162, Conversions!$E$52, FALSE))*Stationary_Combustion[[#This Row],[Amount of fuel]]/1000), ""))</f>
        <v/>
      </c>
      <c r="K57" s="387" t="str">
        <f>IF(Stationary_Combustion[[#This Row],[Custom Emission Factors?]]="No", _xlfn.IFNA((VLOOKUP(Stationary_Combustion[[#This Row],[Fuel]], EF_Stationary_Combustion[], 5, FALSE)/IF(VLOOKUP(Stationary_Combustion[[#This Row],[Fuel]], EF_Stationary_Combustion[], 9,FALSE) ='S1-Stationary Combustion'!H57, 1, VLOOKUP(VLOOKUP(Stationary_Combustion[[#This Row],[Fuel]], EF_Stationary_Combustion[], 9,FALSE)&amp;"_to_"&amp;'S1-Stationary Combustion'!H57,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Combustion'!H57, 1, VLOOKUP(VLOOKUP(Stationary_Combustion[[#This Row],[Fuel]], Custom_EF[], 11,FALSE)&amp;"_to_"&amp;'S1-Stationary Combustion'!H57, Conversions!$B$52:$F$162, Conversions!$E$52, FALSE))*Stationary_Combustion[[#This Row],[Amount of fuel]]/1000), ""))</f>
        <v/>
      </c>
      <c r="L57" s="386" t="str">
        <f>IFERROR(IF(Parameters!$D$19="2014 IPCC Fifth Assessment", (I57*Data!$AJ$5)+(J57*Data!$AJ$6)+(K57*Data!$AJ$7), (I57*Data!$AI$5)+(J57*Data!$AI$6)+(K57*Data!$AI$7)), "")</f>
        <v/>
      </c>
      <c r="M57" s="386" t="str">
        <f>IF(Stationary_Combustion[[#This Row],[Custom Emission Factors?]]="No", _xlfn.IFNA((VLOOKUP(Stationary_Combustion[[#This Row],[Fuel]], EF_Stationary_Combustion[], 6, FALSE)/IF(VLOOKUP(Stationary_Combustion[[#This Row],[Fuel]], EF_Stationary_Combustion[], 9,FALSE) ='S1-Stationary Combustion'!H57, 1, VLOOKUP(VLOOKUP(Stationary_Combustion[[#This Row],[Fuel]], EF_Stationary_Combustion[], 9,FALSE)&amp;"_to_"&amp;'S1-Stationary Combustion'!H57,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Combustion'!H57, 1, VLOOKUP(VLOOKUP(Stationary_Combustion[[#This Row],[Fuel]], Custom_EF[], 10,FALSE)&amp;"_to_"&amp;'S1-Stationary Combustion'!H57, Conversions!$B$52:$F$162, Conversions!$E$52, FALSE))*Stationary_Combustion[[#This Row],[Amount of fuel]]/1000), ""))</f>
        <v/>
      </c>
      <c r="N57" s="388" t="str">
        <f>IF(Stationary_Combustion[[#This Row],[Custom Emission Factors?]]="No", _xlfn.IFNA(VLOOKUP(F57, EF_Stationary_Combustion[], IF(Parameters!$D$19="2014 IPCC Fifth Assessment", 'Emission Factors'!$I$9, 'Emission Factors'!$H$9), FALSE), ""), _xlfn.IFNA(VLOOKUP(Stationary_Combustion[[#This Row],[Fuel]], Custom_EF[], 9, FALSE), ""))</f>
        <v/>
      </c>
      <c r="O57" s="378" t="str">
        <f>IF(Stationary_Combustion[[#This Row],[EF (kgCO2e/unit)]]="", "", IF(Stationary_Combustion[[#This Row],[Custom Emission Factors?]]="Yes", VLOOKUP(Stationary_Combustion[[#This Row],[Fuel]], Custom_EF[], 4, FALSE), VLOOKUP(Stationary_Combustion[[#This Row],[Fuel]], EF_Stationary_Combustion[#All], 10, FALSE)))</f>
        <v/>
      </c>
    </row>
    <row r="58" spans="3:15">
      <c r="C58" s="383"/>
      <c r="D58" s="384"/>
      <c r="E58" s="384"/>
      <c r="F58" s="384"/>
      <c r="G58" s="385"/>
      <c r="H58" s="384"/>
      <c r="I58" s="386" t="str">
        <f>IF(Stationary_Combustion[[#This Row],[Custom Emission Factors?]]="No", _xlfn.IFNA((VLOOKUP(Stationary_Combustion[[#This Row],[Fuel]], EF_Stationary_Combustion[], 3, FALSE)/IF(VLOOKUP(Stationary_Combustion[[#This Row],[Fuel]], EF_Stationary_Combustion[], 9,FALSE) ='S1-Stationary Combustion'!H58, 1, VLOOKUP(VLOOKUP(Stationary_Combustion[[#This Row],[Fuel]], EF_Stationary_Combustion[], 9,FALSE)&amp;"_to_"&amp;'S1-Stationary Combustion'!H58,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Combustion'!H58, 1, VLOOKUP(VLOOKUP(Stationary_Combustion[[#This Row],[Fuel]], Custom_EF[], 11,FALSE)&amp;"_to_"&amp;'S1-Stationary Combustion'!H58, Conversions!$B$52:$F$162, Conversions!$E$52, FALSE))*Stationary_Combustion[[#This Row],[Amount of fuel]]/1000), ""))</f>
        <v/>
      </c>
      <c r="J58" s="387" t="str">
        <f>IF(Stationary_Combustion[[#This Row],[Custom Emission Factors?]]="No", _xlfn.IFNA((VLOOKUP(Stationary_Combustion[[#This Row],[Fuel]], EF_Stationary_Combustion[], 4, FALSE)/IF(VLOOKUP(Stationary_Combustion[[#This Row],[Fuel]], EF_Stationary_Combustion[], 9,FALSE) ='S1-Stationary Combustion'!H58, 1, VLOOKUP(VLOOKUP(Stationary_Combustion[[#This Row],[Fuel]], EF_Stationary_Combustion[], 9,FALSE)&amp;"_to_"&amp;'S1-Stationary Combustion'!H58,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Combustion'!H58, 1, VLOOKUP(VLOOKUP(Stationary_Combustion[[#This Row],[Fuel]], Custom_EF[], 11,FALSE)&amp;"_to_"&amp;'S1-Stationary Combustion'!H58, Conversions!$B$52:$F$162, Conversions!$E$52, FALSE))*Stationary_Combustion[[#This Row],[Amount of fuel]]/1000), ""))</f>
        <v/>
      </c>
      <c r="K58" s="387" t="str">
        <f>IF(Stationary_Combustion[[#This Row],[Custom Emission Factors?]]="No", _xlfn.IFNA((VLOOKUP(Stationary_Combustion[[#This Row],[Fuel]], EF_Stationary_Combustion[], 5, FALSE)/IF(VLOOKUP(Stationary_Combustion[[#This Row],[Fuel]], EF_Stationary_Combustion[], 9,FALSE) ='S1-Stationary Combustion'!H58, 1, VLOOKUP(VLOOKUP(Stationary_Combustion[[#This Row],[Fuel]], EF_Stationary_Combustion[], 9,FALSE)&amp;"_to_"&amp;'S1-Stationary Combustion'!H58,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Combustion'!H58, 1, VLOOKUP(VLOOKUP(Stationary_Combustion[[#This Row],[Fuel]], Custom_EF[], 11,FALSE)&amp;"_to_"&amp;'S1-Stationary Combustion'!H58, Conversions!$B$52:$F$162, Conversions!$E$52, FALSE))*Stationary_Combustion[[#This Row],[Amount of fuel]]/1000), ""))</f>
        <v/>
      </c>
      <c r="L58" s="386" t="str">
        <f>IFERROR(IF(Parameters!$D$19="2014 IPCC Fifth Assessment", (I58*Data!$AJ$5)+(J58*Data!$AJ$6)+(K58*Data!$AJ$7), (I58*Data!$AI$5)+(J58*Data!$AI$6)+(K58*Data!$AI$7)), "")</f>
        <v/>
      </c>
      <c r="M58" s="386" t="str">
        <f>IF(Stationary_Combustion[[#This Row],[Custom Emission Factors?]]="No", _xlfn.IFNA((VLOOKUP(Stationary_Combustion[[#This Row],[Fuel]], EF_Stationary_Combustion[], 6, FALSE)/IF(VLOOKUP(Stationary_Combustion[[#This Row],[Fuel]], EF_Stationary_Combustion[], 9,FALSE) ='S1-Stationary Combustion'!H58, 1, VLOOKUP(VLOOKUP(Stationary_Combustion[[#This Row],[Fuel]], EF_Stationary_Combustion[], 9,FALSE)&amp;"_to_"&amp;'S1-Stationary Combustion'!H58,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Combustion'!H58, 1, VLOOKUP(VLOOKUP(Stationary_Combustion[[#This Row],[Fuel]], Custom_EF[], 10,FALSE)&amp;"_to_"&amp;'S1-Stationary Combustion'!H58, Conversions!$B$52:$F$162, Conversions!$E$52, FALSE))*Stationary_Combustion[[#This Row],[Amount of fuel]]/1000), ""))</f>
        <v/>
      </c>
      <c r="N58" s="388" t="str">
        <f>IF(Stationary_Combustion[[#This Row],[Custom Emission Factors?]]="No", _xlfn.IFNA(VLOOKUP(F58, EF_Stationary_Combustion[], IF(Parameters!$D$19="2014 IPCC Fifth Assessment", 'Emission Factors'!$I$9, 'Emission Factors'!$H$9), FALSE), ""), _xlfn.IFNA(VLOOKUP(Stationary_Combustion[[#This Row],[Fuel]], Custom_EF[], 9, FALSE), ""))</f>
        <v/>
      </c>
      <c r="O58" s="378" t="str">
        <f>IF(Stationary_Combustion[[#This Row],[EF (kgCO2e/unit)]]="", "", IF(Stationary_Combustion[[#This Row],[Custom Emission Factors?]]="Yes", VLOOKUP(Stationary_Combustion[[#This Row],[Fuel]], Custom_EF[], 4, FALSE), VLOOKUP(Stationary_Combustion[[#This Row],[Fuel]], EF_Stationary_Combustion[#All], 10, FALSE)))</f>
        <v/>
      </c>
    </row>
    <row r="59" spans="3:15">
      <c r="C59" s="383"/>
      <c r="D59" s="384"/>
      <c r="E59" s="384"/>
      <c r="F59" s="384"/>
      <c r="G59" s="385"/>
      <c r="H59" s="384"/>
      <c r="I59" s="386" t="str">
        <f>IF(Stationary_Combustion[[#This Row],[Custom Emission Factors?]]="No", _xlfn.IFNA((VLOOKUP(Stationary_Combustion[[#This Row],[Fuel]], EF_Stationary_Combustion[], 3, FALSE)/IF(VLOOKUP(Stationary_Combustion[[#This Row],[Fuel]], EF_Stationary_Combustion[], 9,FALSE) ='S1-Stationary Combustion'!H59, 1, VLOOKUP(VLOOKUP(Stationary_Combustion[[#This Row],[Fuel]], EF_Stationary_Combustion[], 9,FALSE)&amp;"_to_"&amp;'S1-Stationary Combustion'!H59,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Combustion'!H59, 1, VLOOKUP(VLOOKUP(Stationary_Combustion[[#This Row],[Fuel]], Custom_EF[], 11,FALSE)&amp;"_to_"&amp;'S1-Stationary Combustion'!H59, Conversions!$B$52:$F$162, Conversions!$E$52, FALSE))*Stationary_Combustion[[#This Row],[Amount of fuel]]/1000), ""))</f>
        <v/>
      </c>
      <c r="J59" s="387" t="str">
        <f>IF(Stationary_Combustion[[#This Row],[Custom Emission Factors?]]="No", _xlfn.IFNA((VLOOKUP(Stationary_Combustion[[#This Row],[Fuel]], EF_Stationary_Combustion[], 4, FALSE)/IF(VLOOKUP(Stationary_Combustion[[#This Row],[Fuel]], EF_Stationary_Combustion[], 9,FALSE) ='S1-Stationary Combustion'!H59, 1, VLOOKUP(VLOOKUP(Stationary_Combustion[[#This Row],[Fuel]], EF_Stationary_Combustion[], 9,FALSE)&amp;"_to_"&amp;'S1-Stationary Combustion'!H59,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Combustion'!H59, 1, VLOOKUP(VLOOKUP(Stationary_Combustion[[#This Row],[Fuel]], Custom_EF[], 11,FALSE)&amp;"_to_"&amp;'S1-Stationary Combustion'!H59, Conversions!$B$52:$F$162, Conversions!$E$52, FALSE))*Stationary_Combustion[[#This Row],[Amount of fuel]]/1000), ""))</f>
        <v/>
      </c>
      <c r="K59" s="387" t="str">
        <f>IF(Stationary_Combustion[[#This Row],[Custom Emission Factors?]]="No", _xlfn.IFNA((VLOOKUP(Stationary_Combustion[[#This Row],[Fuel]], EF_Stationary_Combustion[], 5, FALSE)/IF(VLOOKUP(Stationary_Combustion[[#This Row],[Fuel]], EF_Stationary_Combustion[], 9,FALSE) ='S1-Stationary Combustion'!H59, 1, VLOOKUP(VLOOKUP(Stationary_Combustion[[#This Row],[Fuel]], EF_Stationary_Combustion[], 9,FALSE)&amp;"_to_"&amp;'S1-Stationary Combustion'!H59,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Combustion'!H59, 1, VLOOKUP(VLOOKUP(Stationary_Combustion[[#This Row],[Fuel]], Custom_EF[], 11,FALSE)&amp;"_to_"&amp;'S1-Stationary Combustion'!H59, Conversions!$B$52:$F$162, Conversions!$E$52, FALSE))*Stationary_Combustion[[#This Row],[Amount of fuel]]/1000), ""))</f>
        <v/>
      </c>
      <c r="L59" s="386" t="str">
        <f>IFERROR(IF(Parameters!$D$19="2014 IPCC Fifth Assessment", (I59*Data!$AJ$5)+(J59*Data!$AJ$6)+(K59*Data!$AJ$7), (I59*Data!$AI$5)+(J59*Data!$AI$6)+(K59*Data!$AI$7)), "")</f>
        <v/>
      </c>
      <c r="M59" s="386" t="str">
        <f>IF(Stationary_Combustion[[#This Row],[Custom Emission Factors?]]="No", _xlfn.IFNA((VLOOKUP(Stationary_Combustion[[#This Row],[Fuel]], EF_Stationary_Combustion[], 6, FALSE)/IF(VLOOKUP(Stationary_Combustion[[#This Row],[Fuel]], EF_Stationary_Combustion[], 9,FALSE) ='S1-Stationary Combustion'!H59, 1, VLOOKUP(VLOOKUP(Stationary_Combustion[[#This Row],[Fuel]], EF_Stationary_Combustion[], 9,FALSE)&amp;"_to_"&amp;'S1-Stationary Combustion'!H59,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Combustion'!H59, 1, VLOOKUP(VLOOKUP(Stationary_Combustion[[#This Row],[Fuel]], Custom_EF[], 10,FALSE)&amp;"_to_"&amp;'S1-Stationary Combustion'!H59, Conversions!$B$52:$F$162, Conversions!$E$52, FALSE))*Stationary_Combustion[[#This Row],[Amount of fuel]]/1000), ""))</f>
        <v/>
      </c>
      <c r="N59" s="388" t="str">
        <f>IF(Stationary_Combustion[[#This Row],[Custom Emission Factors?]]="No", _xlfn.IFNA(VLOOKUP(F59, EF_Stationary_Combustion[], IF(Parameters!$D$19="2014 IPCC Fifth Assessment", 'Emission Factors'!$I$9, 'Emission Factors'!$H$9), FALSE), ""), _xlfn.IFNA(VLOOKUP(Stationary_Combustion[[#This Row],[Fuel]], Custom_EF[], 9, FALSE), ""))</f>
        <v/>
      </c>
      <c r="O59" s="378" t="str">
        <f>IF(Stationary_Combustion[[#This Row],[EF (kgCO2e/unit)]]="", "", IF(Stationary_Combustion[[#This Row],[Custom Emission Factors?]]="Yes", VLOOKUP(Stationary_Combustion[[#This Row],[Fuel]], Custom_EF[], 4, FALSE), VLOOKUP(Stationary_Combustion[[#This Row],[Fuel]], EF_Stationary_Combustion[#All], 10, FALSE)))</f>
        <v/>
      </c>
    </row>
    <row r="60" spans="3:15">
      <c r="C60" s="383"/>
      <c r="D60" s="384"/>
      <c r="E60" s="384"/>
      <c r="F60" s="384"/>
      <c r="G60" s="385"/>
      <c r="H60" s="384"/>
      <c r="I60" s="386" t="str">
        <f>IF(Stationary_Combustion[[#This Row],[Custom Emission Factors?]]="No", _xlfn.IFNA((VLOOKUP(Stationary_Combustion[[#This Row],[Fuel]], EF_Stationary_Combustion[], 3, FALSE)/IF(VLOOKUP(Stationary_Combustion[[#This Row],[Fuel]], EF_Stationary_Combustion[], 9,FALSE) ='S1-Stationary Combustion'!H60, 1, VLOOKUP(VLOOKUP(Stationary_Combustion[[#This Row],[Fuel]], EF_Stationary_Combustion[], 9,FALSE)&amp;"_to_"&amp;'S1-Stationary Combustion'!H60,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Combustion'!H60, 1, VLOOKUP(VLOOKUP(Stationary_Combustion[[#This Row],[Fuel]], Custom_EF[], 11,FALSE)&amp;"_to_"&amp;'S1-Stationary Combustion'!H60, Conversions!$B$52:$F$162, Conversions!$E$52, FALSE))*Stationary_Combustion[[#This Row],[Amount of fuel]]/1000), ""))</f>
        <v/>
      </c>
      <c r="J60" s="387" t="str">
        <f>IF(Stationary_Combustion[[#This Row],[Custom Emission Factors?]]="No", _xlfn.IFNA((VLOOKUP(Stationary_Combustion[[#This Row],[Fuel]], EF_Stationary_Combustion[], 4, FALSE)/IF(VLOOKUP(Stationary_Combustion[[#This Row],[Fuel]], EF_Stationary_Combustion[], 9,FALSE) ='S1-Stationary Combustion'!H60, 1, VLOOKUP(VLOOKUP(Stationary_Combustion[[#This Row],[Fuel]], EF_Stationary_Combustion[], 9,FALSE)&amp;"_to_"&amp;'S1-Stationary Combustion'!H60,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Combustion'!H60, 1, VLOOKUP(VLOOKUP(Stationary_Combustion[[#This Row],[Fuel]], Custom_EF[], 11,FALSE)&amp;"_to_"&amp;'S1-Stationary Combustion'!H60, Conversions!$B$52:$F$162, Conversions!$E$52, FALSE))*Stationary_Combustion[[#This Row],[Amount of fuel]]/1000), ""))</f>
        <v/>
      </c>
      <c r="K60" s="387" t="str">
        <f>IF(Stationary_Combustion[[#This Row],[Custom Emission Factors?]]="No", _xlfn.IFNA((VLOOKUP(Stationary_Combustion[[#This Row],[Fuel]], EF_Stationary_Combustion[], 5, FALSE)/IF(VLOOKUP(Stationary_Combustion[[#This Row],[Fuel]], EF_Stationary_Combustion[], 9,FALSE) ='S1-Stationary Combustion'!H60, 1, VLOOKUP(VLOOKUP(Stationary_Combustion[[#This Row],[Fuel]], EF_Stationary_Combustion[], 9,FALSE)&amp;"_to_"&amp;'S1-Stationary Combustion'!H60,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Combustion'!H60, 1, VLOOKUP(VLOOKUP(Stationary_Combustion[[#This Row],[Fuel]], Custom_EF[], 11,FALSE)&amp;"_to_"&amp;'S1-Stationary Combustion'!H60, Conversions!$B$52:$F$162, Conversions!$E$52, FALSE))*Stationary_Combustion[[#This Row],[Amount of fuel]]/1000), ""))</f>
        <v/>
      </c>
      <c r="L60" s="386" t="str">
        <f>IFERROR(IF(Parameters!$D$19="2014 IPCC Fifth Assessment", (I60*Data!$AJ$5)+(J60*Data!$AJ$6)+(K60*Data!$AJ$7), (I60*Data!$AI$5)+(J60*Data!$AI$6)+(K60*Data!$AI$7)), "")</f>
        <v/>
      </c>
      <c r="M60" s="386" t="str">
        <f>IF(Stationary_Combustion[[#This Row],[Custom Emission Factors?]]="No", _xlfn.IFNA((VLOOKUP(Stationary_Combustion[[#This Row],[Fuel]], EF_Stationary_Combustion[], 6, FALSE)/IF(VLOOKUP(Stationary_Combustion[[#This Row],[Fuel]], EF_Stationary_Combustion[], 9,FALSE) ='S1-Stationary Combustion'!H60, 1, VLOOKUP(VLOOKUP(Stationary_Combustion[[#This Row],[Fuel]], EF_Stationary_Combustion[], 9,FALSE)&amp;"_to_"&amp;'S1-Stationary Combustion'!H60,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Combustion'!H60, 1, VLOOKUP(VLOOKUP(Stationary_Combustion[[#This Row],[Fuel]], Custom_EF[], 10,FALSE)&amp;"_to_"&amp;'S1-Stationary Combustion'!H60, Conversions!$B$52:$F$162, Conversions!$E$52, FALSE))*Stationary_Combustion[[#This Row],[Amount of fuel]]/1000), ""))</f>
        <v/>
      </c>
      <c r="N60" s="388" t="str">
        <f>IF(Stationary_Combustion[[#This Row],[Custom Emission Factors?]]="No", _xlfn.IFNA(VLOOKUP(F60, EF_Stationary_Combustion[], IF(Parameters!$D$19="2014 IPCC Fifth Assessment", 'Emission Factors'!$I$9, 'Emission Factors'!$H$9), FALSE), ""), _xlfn.IFNA(VLOOKUP(Stationary_Combustion[[#This Row],[Fuel]], Custom_EF[], 9, FALSE), ""))</f>
        <v/>
      </c>
      <c r="O60" s="378" t="str">
        <f>IF(Stationary_Combustion[[#This Row],[EF (kgCO2e/unit)]]="", "", IF(Stationary_Combustion[[#This Row],[Custom Emission Factors?]]="Yes", VLOOKUP(Stationary_Combustion[[#This Row],[Fuel]], Custom_EF[], 4, FALSE), VLOOKUP(Stationary_Combustion[[#This Row],[Fuel]], EF_Stationary_Combustion[#All], 10, FALSE)))</f>
        <v/>
      </c>
    </row>
    <row r="61" spans="3:15">
      <c r="C61" s="383"/>
      <c r="D61" s="384"/>
      <c r="E61" s="384"/>
      <c r="F61" s="384"/>
      <c r="G61" s="385"/>
      <c r="H61" s="384"/>
      <c r="I61" s="386" t="str">
        <f>IF(Stationary_Combustion[[#This Row],[Custom Emission Factors?]]="No", _xlfn.IFNA((VLOOKUP(Stationary_Combustion[[#This Row],[Fuel]], EF_Stationary_Combustion[], 3, FALSE)/IF(VLOOKUP(Stationary_Combustion[[#This Row],[Fuel]], EF_Stationary_Combustion[], 9,FALSE) ='S1-Stationary Combustion'!H61, 1, VLOOKUP(VLOOKUP(Stationary_Combustion[[#This Row],[Fuel]], EF_Stationary_Combustion[], 9,FALSE)&amp;"_to_"&amp;'S1-Stationary Combustion'!H61,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Combustion'!H61, 1, VLOOKUP(VLOOKUP(Stationary_Combustion[[#This Row],[Fuel]], Custom_EF[], 11,FALSE)&amp;"_to_"&amp;'S1-Stationary Combustion'!H61, Conversions!$B$52:$F$162, Conversions!$E$52, FALSE))*Stationary_Combustion[[#This Row],[Amount of fuel]]/1000), ""))</f>
        <v/>
      </c>
      <c r="J61" s="387" t="str">
        <f>IF(Stationary_Combustion[[#This Row],[Custom Emission Factors?]]="No", _xlfn.IFNA((VLOOKUP(Stationary_Combustion[[#This Row],[Fuel]], EF_Stationary_Combustion[], 4, FALSE)/IF(VLOOKUP(Stationary_Combustion[[#This Row],[Fuel]], EF_Stationary_Combustion[], 9,FALSE) ='S1-Stationary Combustion'!H61, 1, VLOOKUP(VLOOKUP(Stationary_Combustion[[#This Row],[Fuel]], EF_Stationary_Combustion[], 9,FALSE)&amp;"_to_"&amp;'S1-Stationary Combustion'!H61,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Combustion'!H61, 1, VLOOKUP(VLOOKUP(Stationary_Combustion[[#This Row],[Fuel]], Custom_EF[], 11,FALSE)&amp;"_to_"&amp;'S1-Stationary Combustion'!H61, Conversions!$B$52:$F$162, Conversions!$E$52, FALSE))*Stationary_Combustion[[#This Row],[Amount of fuel]]/1000), ""))</f>
        <v/>
      </c>
      <c r="K61" s="387" t="str">
        <f>IF(Stationary_Combustion[[#This Row],[Custom Emission Factors?]]="No", _xlfn.IFNA((VLOOKUP(Stationary_Combustion[[#This Row],[Fuel]], EF_Stationary_Combustion[], 5, FALSE)/IF(VLOOKUP(Stationary_Combustion[[#This Row],[Fuel]], EF_Stationary_Combustion[], 9,FALSE) ='S1-Stationary Combustion'!H61, 1, VLOOKUP(VLOOKUP(Stationary_Combustion[[#This Row],[Fuel]], EF_Stationary_Combustion[], 9,FALSE)&amp;"_to_"&amp;'S1-Stationary Combustion'!H61,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Combustion'!H61, 1, VLOOKUP(VLOOKUP(Stationary_Combustion[[#This Row],[Fuel]], Custom_EF[], 11,FALSE)&amp;"_to_"&amp;'S1-Stationary Combustion'!H61, Conversions!$B$52:$F$162, Conversions!$E$52, FALSE))*Stationary_Combustion[[#This Row],[Amount of fuel]]/1000), ""))</f>
        <v/>
      </c>
      <c r="L61" s="386" t="str">
        <f>IFERROR(IF(Parameters!$D$19="2014 IPCC Fifth Assessment", (I61*Data!$AJ$5)+(J61*Data!$AJ$6)+(K61*Data!$AJ$7), (I61*Data!$AI$5)+(J61*Data!$AI$6)+(K61*Data!$AI$7)), "")</f>
        <v/>
      </c>
      <c r="M61" s="386" t="str">
        <f>IF(Stationary_Combustion[[#This Row],[Custom Emission Factors?]]="No", _xlfn.IFNA((VLOOKUP(Stationary_Combustion[[#This Row],[Fuel]], EF_Stationary_Combustion[], 6, FALSE)/IF(VLOOKUP(Stationary_Combustion[[#This Row],[Fuel]], EF_Stationary_Combustion[], 9,FALSE) ='S1-Stationary Combustion'!H61, 1, VLOOKUP(VLOOKUP(Stationary_Combustion[[#This Row],[Fuel]], EF_Stationary_Combustion[], 9,FALSE)&amp;"_to_"&amp;'S1-Stationary Combustion'!H61,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Combustion'!H61, 1, VLOOKUP(VLOOKUP(Stationary_Combustion[[#This Row],[Fuel]], Custom_EF[], 10,FALSE)&amp;"_to_"&amp;'S1-Stationary Combustion'!H61, Conversions!$B$52:$F$162, Conversions!$E$52, FALSE))*Stationary_Combustion[[#This Row],[Amount of fuel]]/1000), ""))</f>
        <v/>
      </c>
      <c r="N61" s="388" t="str">
        <f>IF(Stationary_Combustion[[#This Row],[Custom Emission Factors?]]="No", _xlfn.IFNA(VLOOKUP(F61, EF_Stationary_Combustion[], IF(Parameters!$D$19="2014 IPCC Fifth Assessment", 'Emission Factors'!$I$9, 'Emission Factors'!$H$9), FALSE), ""), _xlfn.IFNA(VLOOKUP(Stationary_Combustion[[#This Row],[Fuel]], Custom_EF[], 9, FALSE), ""))</f>
        <v/>
      </c>
      <c r="O61" s="378" t="str">
        <f>IF(Stationary_Combustion[[#This Row],[EF (kgCO2e/unit)]]="", "", IF(Stationary_Combustion[[#This Row],[Custom Emission Factors?]]="Yes", VLOOKUP(Stationary_Combustion[[#This Row],[Fuel]], Custom_EF[], 4, FALSE), VLOOKUP(Stationary_Combustion[[#This Row],[Fuel]], EF_Stationary_Combustion[#All], 10, FALSE)))</f>
        <v/>
      </c>
    </row>
    <row r="62" spans="3:15">
      <c r="C62" s="383"/>
      <c r="D62" s="384"/>
      <c r="E62" s="384"/>
      <c r="F62" s="384"/>
      <c r="G62" s="385"/>
      <c r="H62" s="384"/>
      <c r="I62" s="386" t="str">
        <f>IF(Stationary_Combustion[[#This Row],[Custom Emission Factors?]]="No", _xlfn.IFNA((VLOOKUP(Stationary_Combustion[[#This Row],[Fuel]], EF_Stationary_Combustion[], 3, FALSE)/IF(VLOOKUP(Stationary_Combustion[[#This Row],[Fuel]], EF_Stationary_Combustion[], 9,FALSE) ='S1-Stationary Combustion'!H62, 1, VLOOKUP(VLOOKUP(Stationary_Combustion[[#This Row],[Fuel]], EF_Stationary_Combustion[], 9,FALSE)&amp;"_to_"&amp;'S1-Stationary Combustion'!H62,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Combustion'!H62, 1, VLOOKUP(VLOOKUP(Stationary_Combustion[[#This Row],[Fuel]], Custom_EF[], 11,FALSE)&amp;"_to_"&amp;'S1-Stationary Combustion'!H62, Conversions!$B$52:$F$162, Conversions!$E$52, FALSE))*Stationary_Combustion[[#This Row],[Amount of fuel]]/1000), ""))</f>
        <v/>
      </c>
      <c r="J62" s="387" t="str">
        <f>IF(Stationary_Combustion[[#This Row],[Custom Emission Factors?]]="No", _xlfn.IFNA((VLOOKUP(Stationary_Combustion[[#This Row],[Fuel]], EF_Stationary_Combustion[], 4, FALSE)/IF(VLOOKUP(Stationary_Combustion[[#This Row],[Fuel]], EF_Stationary_Combustion[], 9,FALSE) ='S1-Stationary Combustion'!H62, 1, VLOOKUP(VLOOKUP(Stationary_Combustion[[#This Row],[Fuel]], EF_Stationary_Combustion[], 9,FALSE)&amp;"_to_"&amp;'S1-Stationary Combustion'!H62,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Combustion'!H62, 1, VLOOKUP(VLOOKUP(Stationary_Combustion[[#This Row],[Fuel]], Custom_EF[], 11,FALSE)&amp;"_to_"&amp;'S1-Stationary Combustion'!H62, Conversions!$B$52:$F$162, Conversions!$E$52, FALSE))*Stationary_Combustion[[#This Row],[Amount of fuel]]/1000), ""))</f>
        <v/>
      </c>
      <c r="K62" s="387" t="str">
        <f>IF(Stationary_Combustion[[#This Row],[Custom Emission Factors?]]="No", _xlfn.IFNA((VLOOKUP(Stationary_Combustion[[#This Row],[Fuel]], EF_Stationary_Combustion[], 5, FALSE)/IF(VLOOKUP(Stationary_Combustion[[#This Row],[Fuel]], EF_Stationary_Combustion[], 9,FALSE) ='S1-Stationary Combustion'!H62, 1, VLOOKUP(VLOOKUP(Stationary_Combustion[[#This Row],[Fuel]], EF_Stationary_Combustion[], 9,FALSE)&amp;"_to_"&amp;'S1-Stationary Combustion'!H62,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Combustion'!H62, 1, VLOOKUP(VLOOKUP(Stationary_Combustion[[#This Row],[Fuel]], Custom_EF[], 11,FALSE)&amp;"_to_"&amp;'S1-Stationary Combustion'!H62, Conversions!$B$52:$F$162, Conversions!$E$52, FALSE))*Stationary_Combustion[[#This Row],[Amount of fuel]]/1000), ""))</f>
        <v/>
      </c>
      <c r="L62" s="386" t="str">
        <f>IFERROR(IF(Parameters!$D$19="2014 IPCC Fifth Assessment", (I62*Data!$AJ$5)+(J62*Data!$AJ$6)+(K62*Data!$AJ$7), (I62*Data!$AI$5)+(J62*Data!$AI$6)+(K62*Data!$AI$7)), "")</f>
        <v/>
      </c>
      <c r="M62" s="386" t="str">
        <f>IF(Stationary_Combustion[[#This Row],[Custom Emission Factors?]]="No", _xlfn.IFNA((VLOOKUP(Stationary_Combustion[[#This Row],[Fuel]], EF_Stationary_Combustion[], 6, FALSE)/IF(VLOOKUP(Stationary_Combustion[[#This Row],[Fuel]], EF_Stationary_Combustion[], 9,FALSE) ='S1-Stationary Combustion'!H62, 1, VLOOKUP(VLOOKUP(Stationary_Combustion[[#This Row],[Fuel]], EF_Stationary_Combustion[], 9,FALSE)&amp;"_to_"&amp;'S1-Stationary Combustion'!H62,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Combustion'!H62, 1, VLOOKUP(VLOOKUP(Stationary_Combustion[[#This Row],[Fuel]], Custom_EF[], 10,FALSE)&amp;"_to_"&amp;'S1-Stationary Combustion'!H62, Conversions!$B$52:$F$162, Conversions!$E$52, FALSE))*Stationary_Combustion[[#This Row],[Amount of fuel]]/1000), ""))</f>
        <v/>
      </c>
      <c r="N62" s="388" t="str">
        <f>IF(Stationary_Combustion[[#This Row],[Custom Emission Factors?]]="No", _xlfn.IFNA(VLOOKUP(F62, EF_Stationary_Combustion[], IF(Parameters!$D$19="2014 IPCC Fifth Assessment", 'Emission Factors'!$I$9, 'Emission Factors'!$H$9), FALSE), ""), _xlfn.IFNA(VLOOKUP(Stationary_Combustion[[#This Row],[Fuel]], Custom_EF[], 9, FALSE), ""))</f>
        <v/>
      </c>
      <c r="O62" s="378" t="str">
        <f>IF(Stationary_Combustion[[#This Row],[EF (kgCO2e/unit)]]="", "", IF(Stationary_Combustion[[#This Row],[Custom Emission Factors?]]="Yes", VLOOKUP(Stationary_Combustion[[#This Row],[Fuel]], Custom_EF[], 4, FALSE), VLOOKUP(Stationary_Combustion[[#This Row],[Fuel]], EF_Stationary_Combustion[#All], 10, FALSE)))</f>
        <v/>
      </c>
    </row>
    <row r="63" spans="3:15">
      <c r="C63" s="383"/>
      <c r="D63" s="384"/>
      <c r="E63" s="384"/>
      <c r="F63" s="384"/>
      <c r="G63" s="385"/>
      <c r="H63" s="384"/>
      <c r="I63" s="386" t="str">
        <f>IF(Stationary_Combustion[[#This Row],[Custom Emission Factors?]]="No", _xlfn.IFNA((VLOOKUP(Stationary_Combustion[[#This Row],[Fuel]], EF_Stationary_Combustion[], 3, FALSE)/IF(VLOOKUP(Stationary_Combustion[[#This Row],[Fuel]], EF_Stationary_Combustion[], 9,FALSE) ='S1-Stationary Combustion'!H63, 1, VLOOKUP(VLOOKUP(Stationary_Combustion[[#This Row],[Fuel]], EF_Stationary_Combustion[], 9,FALSE)&amp;"_to_"&amp;'S1-Stationary Combustion'!H63,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Combustion'!H63, 1, VLOOKUP(VLOOKUP(Stationary_Combustion[[#This Row],[Fuel]], Custom_EF[], 11,FALSE)&amp;"_to_"&amp;'S1-Stationary Combustion'!H63, Conversions!$B$52:$F$162, Conversions!$E$52, FALSE))*Stationary_Combustion[[#This Row],[Amount of fuel]]/1000), ""))</f>
        <v/>
      </c>
      <c r="J63" s="387" t="str">
        <f>IF(Stationary_Combustion[[#This Row],[Custom Emission Factors?]]="No", _xlfn.IFNA((VLOOKUP(Stationary_Combustion[[#This Row],[Fuel]], EF_Stationary_Combustion[], 4, FALSE)/IF(VLOOKUP(Stationary_Combustion[[#This Row],[Fuel]], EF_Stationary_Combustion[], 9,FALSE) ='S1-Stationary Combustion'!H63, 1, VLOOKUP(VLOOKUP(Stationary_Combustion[[#This Row],[Fuel]], EF_Stationary_Combustion[], 9,FALSE)&amp;"_to_"&amp;'S1-Stationary Combustion'!H63,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Combustion'!H63, 1, VLOOKUP(VLOOKUP(Stationary_Combustion[[#This Row],[Fuel]], Custom_EF[], 11,FALSE)&amp;"_to_"&amp;'S1-Stationary Combustion'!H63, Conversions!$B$52:$F$162, Conversions!$E$52, FALSE))*Stationary_Combustion[[#This Row],[Amount of fuel]]/1000), ""))</f>
        <v/>
      </c>
      <c r="K63" s="387" t="str">
        <f>IF(Stationary_Combustion[[#This Row],[Custom Emission Factors?]]="No", _xlfn.IFNA((VLOOKUP(Stationary_Combustion[[#This Row],[Fuel]], EF_Stationary_Combustion[], 5, FALSE)/IF(VLOOKUP(Stationary_Combustion[[#This Row],[Fuel]], EF_Stationary_Combustion[], 9,FALSE) ='S1-Stationary Combustion'!H63, 1, VLOOKUP(VLOOKUP(Stationary_Combustion[[#This Row],[Fuel]], EF_Stationary_Combustion[], 9,FALSE)&amp;"_to_"&amp;'S1-Stationary Combustion'!H63,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Combustion'!H63, 1, VLOOKUP(VLOOKUP(Stationary_Combustion[[#This Row],[Fuel]], Custom_EF[], 11,FALSE)&amp;"_to_"&amp;'S1-Stationary Combustion'!H63, Conversions!$B$52:$F$162, Conversions!$E$52, FALSE))*Stationary_Combustion[[#This Row],[Amount of fuel]]/1000), ""))</f>
        <v/>
      </c>
      <c r="L63" s="386" t="str">
        <f>IFERROR(IF(Parameters!$D$19="2014 IPCC Fifth Assessment", (I63*Data!$AJ$5)+(J63*Data!$AJ$6)+(K63*Data!$AJ$7), (I63*Data!$AI$5)+(J63*Data!$AI$6)+(K63*Data!$AI$7)), "")</f>
        <v/>
      </c>
      <c r="M63" s="386" t="str">
        <f>IF(Stationary_Combustion[[#This Row],[Custom Emission Factors?]]="No", _xlfn.IFNA((VLOOKUP(Stationary_Combustion[[#This Row],[Fuel]], EF_Stationary_Combustion[], 6, FALSE)/IF(VLOOKUP(Stationary_Combustion[[#This Row],[Fuel]], EF_Stationary_Combustion[], 9,FALSE) ='S1-Stationary Combustion'!H63, 1, VLOOKUP(VLOOKUP(Stationary_Combustion[[#This Row],[Fuel]], EF_Stationary_Combustion[], 9,FALSE)&amp;"_to_"&amp;'S1-Stationary Combustion'!H63,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Combustion'!H63, 1, VLOOKUP(VLOOKUP(Stationary_Combustion[[#This Row],[Fuel]], Custom_EF[], 10,FALSE)&amp;"_to_"&amp;'S1-Stationary Combustion'!H63, Conversions!$B$52:$F$162, Conversions!$E$52, FALSE))*Stationary_Combustion[[#This Row],[Amount of fuel]]/1000), ""))</f>
        <v/>
      </c>
      <c r="N63" s="388" t="str">
        <f>IF(Stationary_Combustion[[#This Row],[Custom Emission Factors?]]="No", _xlfn.IFNA(VLOOKUP(F63, EF_Stationary_Combustion[], IF(Parameters!$D$19="2014 IPCC Fifth Assessment", 'Emission Factors'!$I$9, 'Emission Factors'!$H$9), FALSE), ""), _xlfn.IFNA(VLOOKUP(Stationary_Combustion[[#This Row],[Fuel]], Custom_EF[], 9, FALSE), ""))</f>
        <v/>
      </c>
      <c r="O63" s="378" t="str">
        <f>IF(Stationary_Combustion[[#This Row],[EF (kgCO2e/unit)]]="", "", IF(Stationary_Combustion[[#This Row],[Custom Emission Factors?]]="Yes", VLOOKUP(Stationary_Combustion[[#This Row],[Fuel]], Custom_EF[], 4, FALSE), VLOOKUP(Stationary_Combustion[[#This Row],[Fuel]], EF_Stationary_Combustion[#All], 10, FALSE)))</f>
        <v/>
      </c>
    </row>
    <row r="64" spans="3:15">
      <c r="C64" s="383"/>
      <c r="D64" s="384"/>
      <c r="E64" s="384"/>
      <c r="F64" s="384"/>
      <c r="G64" s="385"/>
      <c r="H64" s="384"/>
      <c r="I64" s="386" t="str">
        <f>IF(Stationary_Combustion[[#This Row],[Custom Emission Factors?]]="No", _xlfn.IFNA((VLOOKUP(Stationary_Combustion[[#This Row],[Fuel]], EF_Stationary_Combustion[], 3, FALSE)/IF(VLOOKUP(Stationary_Combustion[[#This Row],[Fuel]], EF_Stationary_Combustion[], 9,FALSE) ='S1-Stationary Combustion'!H64, 1, VLOOKUP(VLOOKUP(Stationary_Combustion[[#This Row],[Fuel]], EF_Stationary_Combustion[], 9,FALSE)&amp;"_to_"&amp;'S1-Stationary Combustion'!H64,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Combustion'!H64, 1, VLOOKUP(VLOOKUP(Stationary_Combustion[[#This Row],[Fuel]], Custom_EF[], 11,FALSE)&amp;"_to_"&amp;'S1-Stationary Combustion'!H64, Conversions!$B$52:$F$162, Conversions!$E$52, FALSE))*Stationary_Combustion[[#This Row],[Amount of fuel]]/1000), ""))</f>
        <v/>
      </c>
      <c r="J64" s="387" t="str">
        <f>IF(Stationary_Combustion[[#This Row],[Custom Emission Factors?]]="No", _xlfn.IFNA((VLOOKUP(Stationary_Combustion[[#This Row],[Fuel]], EF_Stationary_Combustion[], 4, FALSE)/IF(VLOOKUP(Stationary_Combustion[[#This Row],[Fuel]], EF_Stationary_Combustion[], 9,FALSE) ='S1-Stationary Combustion'!H64, 1, VLOOKUP(VLOOKUP(Stationary_Combustion[[#This Row],[Fuel]], EF_Stationary_Combustion[], 9,FALSE)&amp;"_to_"&amp;'S1-Stationary Combustion'!H64,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Combustion'!H64, 1, VLOOKUP(VLOOKUP(Stationary_Combustion[[#This Row],[Fuel]], Custom_EF[], 11,FALSE)&amp;"_to_"&amp;'S1-Stationary Combustion'!H64, Conversions!$B$52:$F$162, Conversions!$E$52, FALSE))*Stationary_Combustion[[#This Row],[Amount of fuel]]/1000), ""))</f>
        <v/>
      </c>
      <c r="K64" s="387" t="str">
        <f>IF(Stationary_Combustion[[#This Row],[Custom Emission Factors?]]="No", _xlfn.IFNA((VLOOKUP(Stationary_Combustion[[#This Row],[Fuel]], EF_Stationary_Combustion[], 5, FALSE)/IF(VLOOKUP(Stationary_Combustion[[#This Row],[Fuel]], EF_Stationary_Combustion[], 9,FALSE) ='S1-Stationary Combustion'!H64, 1, VLOOKUP(VLOOKUP(Stationary_Combustion[[#This Row],[Fuel]], EF_Stationary_Combustion[], 9,FALSE)&amp;"_to_"&amp;'S1-Stationary Combustion'!H64,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Combustion'!H64, 1, VLOOKUP(VLOOKUP(Stationary_Combustion[[#This Row],[Fuel]], Custom_EF[], 11,FALSE)&amp;"_to_"&amp;'S1-Stationary Combustion'!H64, Conversions!$B$52:$F$162, Conversions!$E$52, FALSE))*Stationary_Combustion[[#This Row],[Amount of fuel]]/1000), ""))</f>
        <v/>
      </c>
      <c r="L64" s="386" t="str">
        <f>IFERROR(IF(Parameters!$D$19="2014 IPCC Fifth Assessment", (I64*Data!$AJ$5)+(J64*Data!$AJ$6)+(K64*Data!$AJ$7), (I64*Data!$AI$5)+(J64*Data!$AI$6)+(K64*Data!$AI$7)), "")</f>
        <v/>
      </c>
      <c r="M64" s="386" t="str">
        <f>IF(Stationary_Combustion[[#This Row],[Custom Emission Factors?]]="No", _xlfn.IFNA((VLOOKUP(Stationary_Combustion[[#This Row],[Fuel]], EF_Stationary_Combustion[], 6, FALSE)/IF(VLOOKUP(Stationary_Combustion[[#This Row],[Fuel]], EF_Stationary_Combustion[], 9,FALSE) ='S1-Stationary Combustion'!H64, 1, VLOOKUP(VLOOKUP(Stationary_Combustion[[#This Row],[Fuel]], EF_Stationary_Combustion[], 9,FALSE)&amp;"_to_"&amp;'S1-Stationary Combustion'!H64,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Combustion'!H64, 1, VLOOKUP(VLOOKUP(Stationary_Combustion[[#This Row],[Fuel]], Custom_EF[], 10,FALSE)&amp;"_to_"&amp;'S1-Stationary Combustion'!H64, Conversions!$B$52:$F$162, Conversions!$E$52, FALSE))*Stationary_Combustion[[#This Row],[Amount of fuel]]/1000), ""))</f>
        <v/>
      </c>
      <c r="N64" s="388" t="str">
        <f>IF(Stationary_Combustion[[#This Row],[Custom Emission Factors?]]="No", _xlfn.IFNA(VLOOKUP(F64, EF_Stationary_Combustion[], IF(Parameters!$D$19="2014 IPCC Fifth Assessment", 'Emission Factors'!$I$9, 'Emission Factors'!$H$9), FALSE), ""), _xlfn.IFNA(VLOOKUP(Stationary_Combustion[[#This Row],[Fuel]], Custom_EF[], 9, FALSE), ""))</f>
        <v/>
      </c>
      <c r="O64" s="378" t="str">
        <f>IF(Stationary_Combustion[[#This Row],[EF (kgCO2e/unit)]]="", "", IF(Stationary_Combustion[[#This Row],[Custom Emission Factors?]]="Yes", VLOOKUP(Stationary_Combustion[[#This Row],[Fuel]], Custom_EF[], 4, FALSE), VLOOKUP(Stationary_Combustion[[#This Row],[Fuel]], EF_Stationary_Combustion[#All], 10, FALSE)))</f>
        <v/>
      </c>
    </row>
    <row r="65" spans="3:15">
      <c r="C65" s="383"/>
      <c r="D65" s="384"/>
      <c r="E65" s="384"/>
      <c r="F65" s="384"/>
      <c r="G65" s="385"/>
      <c r="H65" s="384"/>
      <c r="I65" s="386" t="str">
        <f>IF(Stationary_Combustion[[#This Row],[Custom Emission Factors?]]="No", _xlfn.IFNA((VLOOKUP(Stationary_Combustion[[#This Row],[Fuel]], EF_Stationary_Combustion[], 3, FALSE)/IF(VLOOKUP(Stationary_Combustion[[#This Row],[Fuel]], EF_Stationary_Combustion[], 9,FALSE) ='S1-Stationary Combustion'!H65, 1, VLOOKUP(VLOOKUP(Stationary_Combustion[[#This Row],[Fuel]], EF_Stationary_Combustion[], 9,FALSE)&amp;"_to_"&amp;'S1-Stationary Combustion'!H65,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Combustion'!H65, 1, VLOOKUP(VLOOKUP(Stationary_Combustion[[#This Row],[Fuel]], Custom_EF[], 11,FALSE)&amp;"_to_"&amp;'S1-Stationary Combustion'!H65, Conversions!$B$52:$F$162, Conversions!$E$52, FALSE))*Stationary_Combustion[[#This Row],[Amount of fuel]]/1000), ""))</f>
        <v/>
      </c>
      <c r="J65" s="387" t="str">
        <f>IF(Stationary_Combustion[[#This Row],[Custom Emission Factors?]]="No", _xlfn.IFNA((VLOOKUP(Stationary_Combustion[[#This Row],[Fuel]], EF_Stationary_Combustion[], 4, FALSE)/IF(VLOOKUP(Stationary_Combustion[[#This Row],[Fuel]], EF_Stationary_Combustion[], 9,FALSE) ='S1-Stationary Combustion'!H65, 1, VLOOKUP(VLOOKUP(Stationary_Combustion[[#This Row],[Fuel]], EF_Stationary_Combustion[], 9,FALSE)&amp;"_to_"&amp;'S1-Stationary Combustion'!H65,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Combustion'!H65, 1, VLOOKUP(VLOOKUP(Stationary_Combustion[[#This Row],[Fuel]], Custom_EF[], 11,FALSE)&amp;"_to_"&amp;'S1-Stationary Combustion'!H65, Conversions!$B$52:$F$162, Conversions!$E$52, FALSE))*Stationary_Combustion[[#This Row],[Amount of fuel]]/1000), ""))</f>
        <v/>
      </c>
      <c r="K65" s="387" t="str">
        <f>IF(Stationary_Combustion[[#This Row],[Custom Emission Factors?]]="No", _xlfn.IFNA((VLOOKUP(Stationary_Combustion[[#This Row],[Fuel]], EF_Stationary_Combustion[], 5, FALSE)/IF(VLOOKUP(Stationary_Combustion[[#This Row],[Fuel]], EF_Stationary_Combustion[], 9,FALSE) ='S1-Stationary Combustion'!H65, 1, VLOOKUP(VLOOKUP(Stationary_Combustion[[#This Row],[Fuel]], EF_Stationary_Combustion[], 9,FALSE)&amp;"_to_"&amp;'S1-Stationary Combustion'!H65,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Combustion'!H65, 1, VLOOKUP(VLOOKUP(Stationary_Combustion[[#This Row],[Fuel]], Custom_EF[], 11,FALSE)&amp;"_to_"&amp;'S1-Stationary Combustion'!H65, Conversions!$B$52:$F$162, Conversions!$E$52, FALSE))*Stationary_Combustion[[#This Row],[Amount of fuel]]/1000), ""))</f>
        <v/>
      </c>
      <c r="L65" s="386" t="str">
        <f>IFERROR(IF(Parameters!$D$19="2014 IPCC Fifth Assessment", (I65*Data!$AJ$5)+(J65*Data!$AJ$6)+(K65*Data!$AJ$7), (I65*Data!$AI$5)+(J65*Data!$AI$6)+(K65*Data!$AI$7)), "")</f>
        <v/>
      </c>
      <c r="M65" s="386" t="str">
        <f>IF(Stationary_Combustion[[#This Row],[Custom Emission Factors?]]="No", _xlfn.IFNA((VLOOKUP(Stationary_Combustion[[#This Row],[Fuel]], EF_Stationary_Combustion[], 6, FALSE)/IF(VLOOKUP(Stationary_Combustion[[#This Row],[Fuel]], EF_Stationary_Combustion[], 9,FALSE) ='S1-Stationary Combustion'!H65, 1, VLOOKUP(VLOOKUP(Stationary_Combustion[[#This Row],[Fuel]], EF_Stationary_Combustion[], 9,FALSE)&amp;"_to_"&amp;'S1-Stationary Combustion'!H65,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Combustion'!H65, 1, VLOOKUP(VLOOKUP(Stationary_Combustion[[#This Row],[Fuel]], Custom_EF[], 10,FALSE)&amp;"_to_"&amp;'S1-Stationary Combustion'!H65, Conversions!$B$52:$F$162, Conversions!$E$52, FALSE))*Stationary_Combustion[[#This Row],[Amount of fuel]]/1000), ""))</f>
        <v/>
      </c>
      <c r="N65" s="388" t="str">
        <f>IF(Stationary_Combustion[[#This Row],[Custom Emission Factors?]]="No", _xlfn.IFNA(VLOOKUP(F65, EF_Stationary_Combustion[], IF(Parameters!$D$19="2014 IPCC Fifth Assessment", 'Emission Factors'!$I$9, 'Emission Factors'!$H$9), FALSE), ""), _xlfn.IFNA(VLOOKUP(Stationary_Combustion[[#This Row],[Fuel]], Custom_EF[], 9, FALSE), ""))</f>
        <v/>
      </c>
      <c r="O65" s="378" t="str">
        <f>IF(Stationary_Combustion[[#This Row],[EF (kgCO2e/unit)]]="", "", IF(Stationary_Combustion[[#This Row],[Custom Emission Factors?]]="Yes", VLOOKUP(Stationary_Combustion[[#This Row],[Fuel]], Custom_EF[], 4, FALSE), VLOOKUP(Stationary_Combustion[[#This Row],[Fuel]], EF_Stationary_Combustion[#All], 10, FALSE)))</f>
        <v/>
      </c>
    </row>
    <row r="66" spans="3:15">
      <c r="C66" s="383"/>
      <c r="D66" s="384"/>
      <c r="E66" s="384"/>
      <c r="F66" s="384"/>
      <c r="G66" s="385"/>
      <c r="H66" s="384"/>
      <c r="I66" s="386" t="str">
        <f>IF(Stationary_Combustion[[#This Row],[Custom Emission Factors?]]="No", _xlfn.IFNA((VLOOKUP(Stationary_Combustion[[#This Row],[Fuel]], EF_Stationary_Combustion[], 3, FALSE)/IF(VLOOKUP(Stationary_Combustion[[#This Row],[Fuel]], EF_Stationary_Combustion[], 9,FALSE) ='S1-Stationary Combustion'!H66, 1, VLOOKUP(VLOOKUP(Stationary_Combustion[[#This Row],[Fuel]], EF_Stationary_Combustion[], 9,FALSE)&amp;"_to_"&amp;'S1-Stationary Combustion'!H66,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Combustion'!H66, 1, VLOOKUP(VLOOKUP(Stationary_Combustion[[#This Row],[Fuel]], Custom_EF[], 11,FALSE)&amp;"_to_"&amp;'S1-Stationary Combustion'!H66, Conversions!$B$52:$F$162, Conversions!$E$52, FALSE))*Stationary_Combustion[[#This Row],[Amount of fuel]]/1000), ""))</f>
        <v/>
      </c>
      <c r="J66" s="387" t="str">
        <f>IF(Stationary_Combustion[[#This Row],[Custom Emission Factors?]]="No", _xlfn.IFNA((VLOOKUP(Stationary_Combustion[[#This Row],[Fuel]], EF_Stationary_Combustion[], 4, FALSE)/IF(VLOOKUP(Stationary_Combustion[[#This Row],[Fuel]], EF_Stationary_Combustion[], 9,FALSE) ='S1-Stationary Combustion'!H66, 1, VLOOKUP(VLOOKUP(Stationary_Combustion[[#This Row],[Fuel]], EF_Stationary_Combustion[], 9,FALSE)&amp;"_to_"&amp;'S1-Stationary Combustion'!H66,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Combustion'!H66, 1, VLOOKUP(VLOOKUP(Stationary_Combustion[[#This Row],[Fuel]], Custom_EF[], 11,FALSE)&amp;"_to_"&amp;'S1-Stationary Combustion'!H66, Conversions!$B$52:$F$162, Conversions!$E$52, FALSE))*Stationary_Combustion[[#This Row],[Amount of fuel]]/1000), ""))</f>
        <v/>
      </c>
      <c r="K66" s="387" t="str">
        <f>IF(Stationary_Combustion[[#This Row],[Custom Emission Factors?]]="No", _xlfn.IFNA((VLOOKUP(Stationary_Combustion[[#This Row],[Fuel]], EF_Stationary_Combustion[], 5, FALSE)/IF(VLOOKUP(Stationary_Combustion[[#This Row],[Fuel]], EF_Stationary_Combustion[], 9,FALSE) ='S1-Stationary Combustion'!H66, 1, VLOOKUP(VLOOKUP(Stationary_Combustion[[#This Row],[Fuel]], EF_Stationary_Combustion[], 9,FALSE)&amp;"_to_"&amp;'S1-Stationary Combustion'!H66,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Combustion'!H66, 1, VLOOKUP(VLOOKUP(Stationary_Combustion[[#This Row],[Fuel]], Custom_EF[], 11,FALSE)&amp;"_to_"&amp;'S1-Stationary Combustion'!H66, Conversions!$B$52:$F$162, Conversions!$E$52, FALSE))*Stationary_Combustion[[#This Row],[Amount of fuel]]/1000), ""))</f>
        <v/>
      </c>
      <c r="L66" s="386" t="str">
        <f>IFERROR(IF(Parameters!$D$19="2014 IPCC Fifth Assessment", (I66*Data!$AJ$5)+(J66*Data!$AJ$6)+(K66*Data!$AJ$7), (I66*Data!$AI$5)+(J66*Data!$AI$6)+(K66*Data!$AI$7)), "")</f>
        <v/>
      </c>
      <c r="M66" s="386" t="str">
        <f>IF(Stationary_Combustion[[#This Row],[Custom Emission Factors?]]="No", _xlfn.IFNA((VLOOKUP(Stationary_Combustion[[#This Row],[Fuel]], EF_Stationary_Combustion[], 6, FALSE)/IF(VLOOKUP(Stationary_Combustion[[#This Row],[Fuel]], EF_Stationary_Combustion[], 9,FALSE) ='S1-Stationary Combustion'!H66, 1, VLOOKUP(VLOOKUP(Stationary_Combustion[[#This Row],[Fuel]], EF_Stationary_Combustion[], 9,FALSE)&amp;"_to_"&amp;'S1-Stationary Combustion'!H66,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Combustion'!H66, 1, VLOOKUP(VLOOKUP(Stationary_Combustion[[#This Row],[Fuel]], Custom_EF[], 10,FALSE)&amp;"_to_"&amp;'S1-Stationary Combustion'!H66, Conversions!$B$52:$F$162, Conversions!$E$52, FALSE))*Stationary_Combustion[[#This Row],[Amount of fuel]]/1000), ""))</f>
        <v/>
      </c>
      <c r="N66" s="388" t="str">
        <f>IF(Stationary_Combustion[[#This Row],[Custom Emission Factors?]]="No", _xlfn.IFNA(VLOOKUP(F66, EF_Stationary_Combustion[], IF(Parameters!$D$19="2014 IPCC Fifth Assessment", 'Emission Factors'!$I$9, 'Emission Factors'!$H$9), FALSE), ""), _xlfn.IFNA(VLOOKUP(Stationary_Combustion[[#This Row],[Fuel]], Custom_EF[], 9, FALSE), ""))</f>
        <v/>
      </c>
      <c r="O66" s="378" t="str">
        <f>IF(Stationary_Combustion[[#This Row],[EF (kgCO2e/unit)]]="", "", IF(Stationary_Combustion[[#This Row],[Custom Emission Factors?]]="Yes", VLOOKUP(Stationary_Combustion[[#This Row],[Fuel]], Custom_EF[], 4, FALSE), VLOOKUP(Stationary_Combustion[[#This Row],[Fuel]], EF_Stationary_Combustion[#All], 10, FALSE)))</f>
        <v/>
      </c>
    </row>
    <row r="67" spans="3:15">
      <c r="C67" s="383"/>
      <c r="D67" s="384"/>
      <c r="E67" s="384"/>
      <c r="F67" s="384"/>
      <c r="G67" s="385"/>
      <c r="H67" s="384"/>
      <c r="I67" s="386" t="str">
        <f>IF(Stationary_Combustion[[#This Row],[Custom Emission Factors?]]="No", _xlfn.IFNA((VLOOKUP(Stationary_Combustion[[#This Row],[Fuel]], EF_Stationary_Combustion[], 3, FALSE)/IF(VLOOKUP(Stationary_Combustion[[#This Row],[Fuel]], EF_Stationary_Combustion[], 9,FALSE) ='S1-Stationary Combustion'!H67, 1, VLOOKUP(VLOOKUP(Stationary_Combustion[[#This Row],[Fuel]], EF_Stationary_Combustion[], 9,FALSE)&amp;"_to_"&amp;'S1-Stationary Combustion'!H67,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Combustion'!H67, 1, VLOOKUP(VLOOKUP(Stationary_Combustion[[#This Row],[Fuel]], Custom_EF[], 11,FALSE)&amp;"_to_"&amp;'S1-Stationary Combustion'!H67, Conversions!$B$52:$F$162, Conversions!$E$52, FALSE))*Stationary_Combustion[[#This Row],[Amount of fuel]]/1000), ""))</f>
        <v/>
      </c>
      <c r="J67" s="387" t="str">
        <f>IF(Stationary_Combustion[[#This Row],[Custom Emission Factors?]]="No", _xlfn.IFNA((VLOOKUP(Stationary_Combustion[[#This Row],[Fuel]], EF_Stationary_Combustion[], 4, FALSE)/IF(VLOOKUP(Stationary_Combustion[[#This Row],[Fuel]], EF_Stationary_Combustion[], 9,FALSE) ='S1-Stationary Combustion'!H67, 1, VLOOKUP(VLOOKUP(Stationary_Combustion[[#This Row],[Fuel]], EF_Stationary_Combustion[], 9,FALSE)&amp;"_to_"&amp;'S1-Stationary Combustion'!H67,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Combustion'!H67, 1, VLOOKUP(VLOOKUP(Stationary_Combustion[[#This Row],[Fuel]], Custom_EF[], 11,FALSE)&amp;"_to_"&amp;'S1-Stationary Combustion'!H67, Conversions!$B$52:$F$162, Conversions!$E$52, FALSE))*Stationary_Combustion[[#This Row],[Amount of fuel]]/1000), ""))</f>
        <v/>
      </c>
      <c r="K67" s="387" t="str">
        <f>IF(Stationary_Combustion[[#This Row],[Custom Emission Factors?]]="No", _xlfn.IFNA((VLOOKUP(Stationary_Combustion[[#This Row],[Fuel]], EF_Stationary_Combustion[], 5, FALSE)/IF(VLOOKUP(Stationary_Combustion[[#This Row],[Fuel]], EF_Stationary_Combustion[], 9,FALSE) ='S1-Stationary Combustion'!H67, 1, VLOOKUP(VLOOKUP(Stationary_Combustion[[#This Row],[Fuel]], EF_Stationary_Combustion[], 9,FALSE)&amp;"_to_"&amp;'S1-Stationary Combustion'!H67,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Combustion'!H67, 1, VLOOKUP(VLOOKUP(Stationary_Combustion[[#This Row],[Fuel]], Custom_EF[], 11,FALSE)&amp;"_to_"&amp;'S1-Stationary Combustion'!H67, Conversions!$B$52:$F$162, Conversions!$E$52, FALSE))*Stationary_Combustion[[#This Row],[Amount of fuel]]/1000), ""))</f>
        <v/>
      </c>
      <c r="L67" s="386" t="str">
        <f>IFERROR(IF(Parameters!$D$19="2014 IPCC Fifth Assessment", (I67*Data!$AJ$5)+(J67*Data!$AJ$6)+(K67*Data!$AJ$7), (I67*Data!$AI$5)+(J67*Data!$AI$6)+(K67*Data!$AI$7)), "")</f>
        <v/>
      </c>
      <c r="M67" s="386" t="str">
        <f>IF(Stationary_Combustion[[#This Row],[Custom Emission Factors?]]="No", _xlfn.IFNA((VLOOKUP(Stationary_Combustion[[#This Row],[Fuel]], EF_Stationary_Combustion[], 6, FALSE)/IF(VLOOKUP(Stationary_Combustion[[#This Row],[Fuel]], EF_Stationary_Combustion[], 9,FALSE) ='S1-Stationary Combustion'!H67, 1, VLOOKUP(VLOOKUP(Stationary_Combustion[[#This Row],[Fuel]], EF_Stationary_Combustion[], 9,FALSE)&amp;"_to_"&amp;'S1-Stationary Combustion'!H67,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Combustion'!H67, 1, VLOOKUP(VLOOKUP(Stationary_Combustion[[#This Row],[Fuel]], Custom_EF[], 10,FALSE)&amp;"_to_"&amp;'S1-Stationary Combustion'!H67, Conversions!$B$52:$F$162, Conversions!$E$52, FALSE))*Stationary_Combustion[[#This Row],[Amount of fuel]]/1000), ""))</f>
        <v/>
      </c>
      <c r="N67" s="388" t="str">
        <f>IF(Stationary_Combustion[[#This Row],[Custom Emission Factors?]]="No", _xlfn.IFNA(VLOOKUP(F67, EF_Stationary_Combustion[], IF(Parameters!$D$19="2014 IPCC Fifth Assessment", 'Emission Factors'!$I$9, 'Emission Factors'!$H$9), FALSE), ""), _xlfn.IFNA(VLOOKUP(Stationary_Combustion[[#This Row],[Fuel]], Custom_EF[], 9, FALSE), ""))</f>
        <v/>
      </c>
      <c r="O67" s="378" t="str">
        <f>IF(Stationary_Combustion[[#This Row],[EF (kgCO2e/unit)]]="", "", IF(Stationary_Combustion[[#This Row],[Custom Emission Factors?]]="Yes", VLOOKUP(Stationary_Combustion[[#This Row],[Fuel]], Custom_EF[], 4, FALSE), VLOOKUP(Stationary_Combustion[[#This Row],[Fuel]], EF_Stationary_Combustion[#All], 10, FALSE)))</f>
        <v/>
      </c>
    </row>
    <row r="68" spans="3:15">
      <c r="C68" s="383"/>
      <c r="D68" s="384"/>
      <c r="E68" s="384"/>
      <c r="F68" s="384"/>
      <c r="G68" s="385"/>
      <c r="H68" s="384"/>
      <c r="I68" s="386" t="str">
        <f>IF(Stationary_Combustion[[#This Row],[Custom Emission Factors?]]="No", _xlfn.IFNA((VLOOKUP(Stationary_Combustion[[#This Row],[Fuel]], EF_Stationary_Combustion[], 3, FALSE)/IF(VLOOKUP(Stationary_Combustion[[#This Row],[Fuel]], EF_Stationary_Combustion[], 9,FALSE) ='S1-Stationary Combustion'!H68, 1, VLOOKUP(VLOOKUP(Stationary_Combustion[[#This Row],[Fuel]], EF_Stationary_Combustion[], 9,FALSE)&amp;"_to_"&amp;'S1-Stationary Combustion'!H68,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Combustion'!H68, 1, VLOOKUP(VLOOKUP(Stationary_Combustion[[#This Row],[Fuel]], Custom_EF[], 11,FALSE)&amp;"_to_"&amp;'S1-Stationary Combustion'!H68, Conversions!$B$52:$F$162, Conversions!$E$52, FALSE))*Stationary_Combustion[[#This Row],[Amount of fuel]]/1000), ""))</f>
        <v/>
      </c>
      <c r="J68" s="387" t="str">
        <f>IF(Stationary_Combustion[[#This Row],[Custom Emission Factors?]]="No", _xlfn.IFNA((VLOOKUP(Stationary_Combustion[[#This Row],[Fuel]], EF_Stationary_Combustion[], 4, FALSE)/IF(VLOOKUP(Stationary_Combustion[[#This Row],[Fuel]], EF_Stationary_Combustion[], 9,FALSE) ='S1-Stationary Combustion'!H68, 1, VLOOKUP(VLOOKUP(Stationary_Combustion[[#This Row],[Fuel]], EF_Stationary_Combustion[], 9,FALSE)&amp;"_to_"&amp;'S1-Stationary Combustion'!H68,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Combustion'!H68, 1, VLOOKUP(VLOOKUP(Stationary_Combustion[[#This Row],[Fuel]], Custom_EF[], 11,FALSE)&amp;"_to_"&amp;'S1-Stationary Combustion'!H68, Conversions!$B$52:$F$162, Conversions!$E$52, FALSE))*Stationary_Combustion[[#This Row],[Amount of fuel]]/1000), ""))</f>
        <v/>
      </c>
      <c r="K68" s="387" t="str">
        <f>IF(Stationary_Combustion[[#This Row],[Custom Emission Factors?]]="No", _xlfn.IFNA((VLOOKUP(Stationary_Combustion[[#This Row],[Fuel]], EF_Stationary_Combustion[], 5, FALSE)/IF(VLOOKUP(Stationary_Combustion[[#This Row],[Fuel]], EF_Stationary_Combustion[], 9,FALSE) ='S1-Stationary Combustion'!H68, 1, VLOOKUP(VLOOKUP(Stationary_Combustion[[#This Row],[Fuel]], EF_Stationary_Combustion[], 9,FALSE)&amp;"_to_"&amp;'S1-Stationary Combustion'!H68,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Combustion'!H68, 1, VLOOKUP(VLOOKUP(Stationary_Combustion[[#This Row],[Fuel]], Custom_EF[], 11,FALSE)&amp;"_to_"&amp;'S1-Stationary Combustion'!H68, Conversions!$B$52:$F$162, Conversions!$E$52, FALSE))*Stationary_Combustion[[#This Row],[Amount of fuel]]/1000), ""))</f>
        <v/>
      </c>
      <c r="L68" s="386" t="str">
        <f>IFERROR(IF(Parameters!$D$19="2014 IPCC Fifth Assessment", (I68*Data!$AJ$5)+(J68*Data!$AJ$6)+(K68*Data!$AJ$7), (I68*Data!$AI$5)+(J68*Data!$AI$6)+(K68*Data!$AI$7)), "")</f>
        <v/>
      </c>
      <c r="M68" s="386" t="str">
        <f>IF(Stationary_Combustion[[#This Row],[Custom Emission Factors?]]="No", _xlfn.IFNA((VLOOKUP(Stationary_Combustion[[#This Row],[Fuel]], EF_Stationary_Combustion[], 6, FALSE)/IF(VLOOKUP(Stationary_Combustion[[#This Row],[Fuel]], EF_Stationary_Combustion[], 9,FALSE) ='S1-Stationary Combustion'!H68, 1, VLOOKUP(VLOOKUP(Stationary_Combustion[[#This Row],[Fuel]], EF_Stationary_Combustion[], 9,FALSE)&amp;"_to_"&amp;'S1-Stationary Combustion'!H68,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Combustion'!H68, 1, VLOOKUP(VLOOKUP(Stationary_Combustion[[#This Row],[Fuel]], Custom_EF[], 10,FALSE)&amp;"_to_"&amp;'S1-Stationary Combustion'!H68, Conversions!$B$52:$F$162, Conversions!$E$52, FALSE))*Stationary_Combustion[[#This Row],[Amount of fuel]]/1000), ""))</f>
        <v/>
      </c>
      <c r="N68" s="388" t="str">
        <f>IF(Stationary_Combustion[[#This Row],[Custom Emission Factors?]]="No", _xlfn.IFNA(VLOOKUP(F68, EF_Stationary_Combustion[], IF(Parameters!$D$19="2014 IPCC Fifth Assessment", 'Emission Factors'!$I$9, 'Emission Factors'!$H$9), FALSE), ""), _xlfn.IFNA(VLOOKUP(Stationary_Combustion[[#This Row],[Fuel]], Custom_EF[], 9, FALSE), ""))</f>
        <v/>
      </c>
      <c r="O68" s="378" t="str">
        <f>IF(Stationary_Combustion[[#This Row],[EF (kgCO2e/unit)]]="", "", IF(Stationary_Combustion[[#This Row],[Custom Emission Factors?]]="Yes", VLOOKUP(Stationary_Combustion[[#This Row],[Fuel]], Custom_EF[], 4, FALSE), VLOOKUP(Stationary_Combustion[[#This Row],[Fuel]], EF_Stationary_Combustion[#All], 10, FALSE)))</f>
        <v/>
      </c>
    </row>
    <row r="69" spans="3:15">
      <c r="C69" s="383"/>
      <c r="D69" s="384"/>
      <c r="E69" s="384"/>
      <c r="F69" s="384"/>
      <c r="G69" s="385"/>
      <c r="H69" s="384"/>
      <c r="I69" s="386" t="str">
        <f>IF(Stationary_Combustion[[#This Row],[Custom Emission Factors?]]="No", _xlfn.IFNA((VLOOKUP(Stationary_Combustion[[#This Row],[Fuel]], EF_Stationary_Combustion[], 3, FALSE)/IF(VLOOKUP(Stationary_Combustion[[#This Row],[Fuel]], EF_Stationary_Combustion[], 9,FALSE) ='S1-Stationary Combustion'!H69, 1, VLOOKUP(VLOOKUP(Stationary_Combustion[[#This Row],[Fuel]], EF_Stationary_Combustion[], 9,FALSE)&amp;"_to_"&amp;'S1-Stationary Combustion'!H69,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Combustion'!H69, 1, VLOOKUP(VLOOKUP(Stationary_Combustion[[#This Row],[Fuel]], Custom_EF[], 11,FALSE)&amp;"_to_"&amp;'S1-Stationary Combustion'!H69, Conversions!$B$52:$F$162, Conversions!$E$52, FALSE))*Stationary_Combustion[[#This Row],[Amount of fuel]]/1000), ""))</f>
        <v/>
      </c>
      <c r="J69" s="387" t="str">
        <f>IF(Stationary_Combustion[[#This Row],[Custom Emission Factors?]]="No", _xlfn.IFNA((VLOOKUP(Stationary_Combustion[[#This Row],[Fuel]], EF_Stationary_Combustion[], 4, FALSE)/IF(VLOOKUP(Stationary_Combustion[[#This Row],[Fuel]], EF_Stationary_Combustion[], 9,FALSE) ='S1-Stationary Combustion'!H69, 1, VLOOKUP(VLOOKUP(Stationary_Combustion[[#This Row],[Fuel]], EF_Stationary_Combustion[], 9,FALSE)&amp;"_to_"&amp;'S1-Stationary Combustion'!H69,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Combustion'!H69, 1, VLOOKUP(VLOOKUP(Stationary_Combustion[[#This Row],[Fuel]], Custom_EF[], 11,FALSE)&amp;"_to_"&amp;'S1-Stationary Combustion'!H69, Conversions!$B$52:$F$162, Conversions!$E$52, FALSE))*Stationary_Combustion[[#This Row],[Amount of fuel]]/1000), ""))</f>
        <v/>
      </c>
      <c r="K69" s="387" t="str">
        <f>IF(Stationary_Combustion[[#This Row],[Custom Emission Factors?]]="No", _xlfn.IFNA((VLOOKUP(Stationary_Combustion[[#This Row],[Fuel]], EF_Stationary_Combustion[], 5, FALSE)/IF(VLOOKUP(Stationary_Combustion[[#This Row],[Fuel]], EF_Stationary_Combustion[], 9,FALSE) ='S1-Stationary Combustion'!H69, 1, VLOOKUP(VLOOKUP(Stationary_Combustion[[#This Row],[Fuel]], EF_Stationary_Combustion[], 9,FALSE)&amp;"_to_"&amp;'S1-Stationary Combustion'!H69,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Combustion'!H69, 1, VLOOKUP(VLOOKUP(Stationary_Combustion[[#This Row],[Fuel]], Custom_EF[], 11,FALSE)&amp;"_to_"&amp;'S1-Stationary Combustion'!H69, Conversions!$B$52:$F$162, Conversions!$E$52, FALSE))*Stationary_Combustion[[#This Row],[Amount of fuel]]/1000), ""))</f>
        <v/>
      </c>
      <c r="L69" s="386" t="str">
        <f>IFERROR(IF(Parameters!$D$19="2014 IPCC Fifth Assessment", (I69*Data!$AJ$5)+(J69*Data!$AJ$6)+(K69*Data!$AJ$7), (I69*Data!$AI$5)+(J69*Data!$AI$6)+(K69*Data!$AI$7)), "")</f>
        <v/>
      </c>
      <c r="M69" s="386" t="str">
        <f>IF(Stationary_Combustion[[#This Row],[Custom Emission Factors?]]="No", _xlfn.IFNA((VLOOKUP(Stationary_Combustion[[#This Row],[Fuel]], EF_Stationary_Combustion[], 6, FALSE)/IF(VLOOKUP(Stationary_Combustion[[#This Row],[Fuel]], EF_Stationary_Combustion[], 9,FALSE) ='S1-Stationary Combustion'!H69, 1, VLOOKUP(VLOOKUP(Stationary_Combustion[[#This Row],[Fuel]], EF_Stationary_Combustion[], 9,FALSE)&amp;"_to_"&amp;'S1-Stationary Combustion'!H69,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Combustion'!H69, 1, VLOOKUP(VLOOKUP(Stationary_Combustion[[#This Row],[Fuel]], Custom_EF[], 10,FALSE)&amp;"_to_"&amp;'S1-Stationary Combustion'!H69, Conversions!$B$52:$F$162, Conversions!$E$52, FALSE))*Stationary_Combustion[[#This Row],[Amount of fuel]]/1000), ""))</f>
        <v/>
      </c>
      <c r="N69" s="388" t="str">
        <f>IF(Stationary_Combustion[[#This Row],[Custom Emission Factors?]]="No", _xlfn.IFNA(VLOOKUP(F69, EF_Stationary_Combustion[], IF(Parameters!$D$19="2014 IPCC Fifth Assessment", 'Emission Factors'!$I$9, 'Emission Factors'!$H$9), FALSE), ""), _xlfn.IFNA(VLOOKUP(Stationary_Combustion[[#This Row],[Fuel]], Custom_EF[], 9, FALSE), ""))</f>
        <v/>
      </c>
      <c r="O69" s="378" t="str">
        <f>IF(Stationary_Combustion[[#This Row],[EF (kgCO2e/unit)]]="", "", IF(Stationary_Combustion[[#This Row],[Custom Emission Factors?]]="Yes", VLOOKUP(Stationary_Combustion[[#This Row],[Fuel]], Custom_EF[], 4, FALSE), VLOOKUP(Stationary_Combustion[[#This Row],[Fuel]], EF_Stationary_Combustion[#All], 10, FALSE)))</f>
        <v/>
      </c>
    </row>
    <row r="70" spans="3:15">
      <c r="C70" s="383"/>
      <c r="D70" s="384"/>
      <c r="E70" s="384"/>
      <c r="F70" s="384"/>
      <c r="G70" s="385"/>
      <c r="H70" s="384"/>
      <c r="I70" s="386" t="str">
        <f>IF(Stationary_Combustion[[#This Row],[Custom Emission Factors?]]="No", _xlfn.IFNA((VLOOKUP(Stationary_Combustion[[#This Row],[Fuel]], EF_Stationary_Combustion[], 3, FALSE)/IF(VLOOKUP(Stationary_Combustion[[#This Row],[Fuel]], EF_Stationary_Combustion[], 9,FALSE) ='S1-Stationary Combustion'!H70, 1, VLOOKUP(VLOOKUP(Stationary_Combustion[[#This Row],[Fuel]], EF_Stationary_Combustion[], 9,FALSE)&amp;"_to_"&amp;'S1-Stationary Combustion'!H70,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Combustion'!H70, 1, VLOOKUP(VLOOKUP(Stationary_Combustion[[#This Row],[Fuel]], Custom_EF[], 11,FALSE)&amp;"_to_"&amp;'S1-Stationary Combustion'!H70, Conversions!$B$52:$F$162, Conversions!$E$52, FALSE))*Stationary_Combustion[[#This Row],[Amount of fuel]]/1000), ""))</f>
        <v/>
      </c>
      <c r="J70" s="387" t="str">
        <f>IF(Stationary_Combustion[[#This Row],[Custom Emission Factors?]]="No", _xlfn.IFNA((VLOOKUP(Stationary_Combustion[[#This Row],[Fuel]], EF_Stationary_Combustion[], 4, FALSE)/IF(VLOOKUP(Stationary_Combustion[[#This Row],[Fuel]], EF_Stationary_Combustion[], 9,FALSE) ='S1-Stationary Combustion'!H70, 1, VLOOKUP(VLOOKUP(Stationary_Combustion[[#This Row],[Fuel]], EF_Stationary_Combustion[], 9,FALSE)&amp;"_to_"&amp;'S1-Stationary Combustion'!H70,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Combustion'!H70, 1, VLOOKUP(VLOOKUP(Stationary_Combustion[[#This Row],[Fuel]], Custom_EF[], 11,FALSE)&amp;"_to_"&amp;'S1-Stationary Combustion'!H70, Conversions!$B$52:$F$162, Conversions!$E$52, FALSE))*Stationary_Combustion[[#This Row],[Amount of fuel]]/1000), ""))</f>
        <v/>
      </c>
      <c r="K70" s="387" t="str">
        <f>IF(Stationary_Combustion[[#This Row],[Custom Emission Factors?]]="No", _xlfn.IFNA((VLOOKUP(Stationary_Combustion[[#This Row],[Fuel]], EF_Stationary_Combustion[], 5, FALSE)/IF(VLOOKUP(Stationary_Combustion[[#This Row],[Fuel]], EF_Stationary_Combustion[], 9,FALSE) ='S1-Stationary Combustion'!H70, 1, VLOOKUP(VLOOKUP(Stationary_Combustion[[#This Row],[Fuel]], EF_Stationary_Combustion[], 9,FALSE)&amp;"_to_"&amp;'S1-Stationary Combustion'!H70,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Combustion'!H70, 1, VLOOKUP(VLOOKUP(Stationary_Combustion[[#This Row],[Fuel]], Custom_EF[], 11,FALSE)&amp;"_to_"&amp;'S1-Stationary Combustion'!H70, Conversions!$B$52:$F$162, Conversions!$E$52, FALSE))*Stationary_Combustion[[#This Row],[Amount of fuel]]/1000), ""))</f>
        <v/>
      </c>
      <c r="L70" s="386" t="str">
        <f>IFERROR(IF(Parameters!$D$19="2014 IPCC Fifth Assessment", (I70*Data!$AJ$5)+(J70*Data!$AJ$6)+(K70*Data!$AJ$7), (I70*Data!$AI$5)+(J70*Data!$AI$6)+(K70*Data!$AI$7)), "")</f>
        <v/>
      </c>
      <c r="M70" s="386" t="str">
        <f>IF(Stationary_Combustion[[#This Row],[Custom Emission Factors?]]="No", _xlfn.IFNA((VLOOKUP(Stationary_Combustion[[#This Row],[Fuel]], EF_Stationary_Combustion[], 6, FALSE)/IF(VLOOKUP(Stationary_Combustion[[#This Row],[Fuel]], EF_Stationary_Combustion[], 9,FALSE) ='S1-Stationary Combustion'!H70, 1, VLOOKUP(VLOOKUP(Stationary_Combustion[[#This Row],[Fuel]], EF_Stationary_Combustion[], 9,FALSE)&amp;"_to_"&amp;'S1-Stationary Combustion'!H70,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Combustion'!H70, 1, VLOOKUP(VLOOKUP(Stationary_Combustion[[#This Row],[Fuel]], Custom_EF[], 10,FALSE)&amp;"_to_"&amp;'S1-Stationary Combustion'!H70, Conversions!$B$52:$F$162, Conversions!$E$52, FALSE))*Stationary_Combustion[[#This Row],[Amount of fuel]]/1000), ""))</f>
        <v/>
      </c>
      <c r="N70" s="388" t="str">
        <f>IF(Stationary_Combustion[[#This Row],[Custom Emission Factors?]]="No", _xlfn.IFNA(VLOOKUP(F70, EF_Stationary_Combustion[], IF(Parameters!$D$19="2014 IPCC Fifth Assessment", 'Emission Factors'!$I$9, 'Emission Factors'!$H$9), FALSE), ""), _xlfn.IFNA(VLOOKUP(Stationary_Combustion[[#This Row],[Fuel]], Custom_EF[], 9, FALSE), ""))</f>
        <v/>
      </c>
      <c r="O70" s="378" t="str">
        <f>IF(Stationary_Combustion[[#This Row],[EF (kgCO2e/unit)]]="", "", IF(Stationary_Combustion[[#This Row],[Custom Emission Factors?]]="Yes", VLOOKUP(Stationary_Combustion[[#This Row],[Fuel]], Custom_EF[], 4, FALSE), VLOOKUP(Stationary_Combustion[[#This Row],[Fuel]], EF_Stationary_Combustion[#All], 10, FALSE)))</f>
        <v/>
      </c>
    </row>
    <row r="71" spans="3:15">
      <c r="C71" s="383"/>
      <c r="D71" s="384"/>
      <c r="E71" s="384"/>
      <c r="F71" s="384"/>
      <c r="G71" s="385"/>
      <c r="H71" s="384"/>
      <c r="I71" s="386" t="str">
        <f>IF(Stationary_Combustion[[#This Row],[Custom Emission Factors?]]="No", _xlfn.IFNA((VLOOKUP(Stationary_Combustion[[#This Row],[Fuel]], EF_Stationary_Combustion[], 3, FALSE)/IF(VLOOKUP(Stationary_Combustion[[#This Row],[Fuel]], EF_Stationary_Combustion[], 9,FALSE) ='S1-Stationary Combustion'!H71, 1, VLOOKUP(VLOOKUP(Stationary_Combustion[[#This Row],[Fuel]], EF_Stationary_Combustion[], 9,FALSE)&amp;"_to_"&amp;'S1-Stationary Combustion'!H71,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Combustion'!H71, 1, VLOOKUP(VLOOKUP(Stationary_Combustion[[#This Row],[Fuel]], Custom_EF[], 11,FALSE)&amp;"_to_"&amp;'S1-Stationary Combustion'!H71, Conversions!$B$52:$F$162, Conversions!$E$52, FALSE))*Stationary_Combustion[[#This Row],[Amount of fuel]]/1000), ""))</f>
        <v/>
      </c>
      <c r="J71" s="387" t="str">
        <f>IF(Stationary_Combustion[[#This Row],[Custom Emission Factors?]]="No", _xlfn.IFNA((VLOOKUP(Stationary_Combustion[[#This Row],[Fuel]], EF_Stationary_Combustion[], 4, FALSE)/IF(VLOOKUP(Stationary_Combustion[[#This Row],[Fuel]], EF_Stationary_Combustion[], 9,FALSE) ='S1-Stationary Combustion'!H71, 1, VLOOKUP(VLOOKUP(Stationary_Combustion[[#This Row],[Fuel]], EF_Stationary_Combustion[], 9,FALSE)&amp;"_to_"&amp;'S1-Stationary Combustion'!H71,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Combustion'!H71, 1, VLOOKUP(VLOOKUP(Stationary_Combustion[[#This Row],[Fuel]], Custom_EF[], 11,FALSE)&amp;"_to_"&amp;'S1-Stationary Combustion'!H71, Conversions!$B$52:$F$162, Conversions!$E$52, FALSE))*Stationary_Combustion[[#This Row],[Amount of fuel]]/1000), ""))</f>
        <v/>
      </c>
      <c r="K71" s="387" t="str">
        <f>IF(Stationary_Combustion[[#This Row],[Custom Emission Factors?]]="No", _xlfn.IFNA((VLOOKUP(Stationary_Combustion[[#This Row],[Fuel]], EF_Stationary_Combustion[], 5, FALSE)/IF(VLOOKUP(Stationary_Combustion[[#This Row],[Fuel]], EF_Stationary_Combustion[], 9,FALSE) ='S1-Stationary Combustion'!H71, 1, VLOOKUP(VLOOKUP(Stationary_Combustion[[#This Row],[Fuel]], EF_Stationary_Combustion[], 9,FALSE)&amp;"_to_"&amp;'S1-Stationary Combustion'!H71,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Combustion'!H71, 1, VLOOKUP(VLOOKUP(Stationary_Combustion[[#This Row],[Fuel]], Custom_EF[], 11,FALSE)&amp;"_to_"&amp;'S1-Stationary Combustion'!H71, Conversions!$B$52:$F$162, Conversions!$E$52, FALSE))*Stationary_Combustion[[#This Row],[Amount of fuel]]/1000), ""))</f>
        <v/>
      </c>
      <c r="L71" s="386" t="str">
        <f>IFERROR(IF(Parameters!$D$19="2014 IPCC Fifth Assessment", (I71*Data!$AJ$5)+(J71*Data!$AJ$6)+(K71*Data!$AJ$7), (I71*Data!$AI$5)+(J71*Data!$AI$6)+(K71*Data!$AI$7)), "")</f>
        <v/>
      </c>
      <c r="M71" s="386" t="str">
        <f>IF(Stationary_Combustion[[#This Row],[Custom Emission Factors?]]="No", _xlfn.IFNA((VLOOKUP(Stationary_Combustion[[#This Row],[Fuel]], EF_Stationary_Combustion[], 6, FALSE)/IF(VLOOKUP(Stationary_Combustion[[#This Row],[Fuel]], EF_Stationary_Combustion[], 9,FALSE) ='S1-Stationary Combustion'!H71, 1, VLOOKUP(VLOOKUP(Stationary_Combustion[[#This Row],[Fuel]], EF_Stationary_Combustion[], 9,FALSE)&amp;"_to_"&amp;'S1-Stationary Combustion'!H71,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Combustion'!H71, 1, VLOOKUP(VLOOKUP(Stationary_Combustion[[#This Row],[Fuel]], Custom_EF[], 10,FALSE)&amp;"_to_"&amp;'S1-Stationary Combustion'!H71, Conversions!$B$52:$F$162, Conversions!$E$52, FALSE))*Stationary_Combustion[[#This Row],[Amount of fuel]]/1000), ""))</f>
        <v/>
      </c>
      <c r="N71" s="388" t="str">
        <f>IF(Stationary_Combustion[[#This Row],[Custom Emission Factors?]]="No", _xlfn.IFNA(VLOOKUP(F71, EF_Stationary_Combustion[], IF(Parameters!$D$19="2014 IPCC Fifth Assessment", 'Emission Factors'!$I$9, 'Emission Factors'!$H$9), FALSE), ""), _xlfn.IFNA(VLOOKUP(Stationary_Combustion[[#This Row],[Fuel]], Custom_EF[], 9, FALSE), ""))</f>
        <v/>
      </c>
      <c r="O71" s="378" t="str">
        <f>IF(Stationary_Combustion[[#This Row],[EF (kgCO2e/unit)]]="", "", IF(Stationary_Combustion[[#This Row],[Custom Emission Factors?]]="Yes", VLOOKUP(Stationary_Combustion[[#This Row],[Fuel]], Custom_EF[], 4, FALSE), VLOOKUP(Stationary_Combustion[[#This Row],[Fuel]], EF_Stationary_Combustion[#All], 10, FALSE)))</f>
        <v/>
      </c>
    </row>
    <row r="72" spans="3:15">
      <c r="C72" s="383"/>
      <c r="D72" s="384"/>
      <c r="E72" s="384"/>
      <c r="F72" s="384"/>
      <c r="G72" s="385"/>
      <c r="H72" s="384"/>
      <c r="I72" s="386" t="str">
        <f>IF(Stationary_Combustion[[#This Row],[Custom Emission Factors?]]="No", _xlfn.IFNA((VLOOKUP(Stationary_Combustion[[#This Row],[Fuel]], EF_Stationary_Combustion[], 3, FALSE)/IF(VLOOKUP(Stationary_Combustion[[#This Row],[Fuel]], EF_Stationary_Combustion[], 9,FALSE) ='S1-Stationary Combustion'!H72, 1, VLOOKUP(VLOOKUP(Stationary_Combustion[[#This Row],[Fuel]], EF_Stationary_Combustion[], 9,FALSE)&amp;"_to_"&amp;'S1-Stationary Combustion'!H72,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Combustion'!H72, 1, VLOOKUP(VLOOKUP(Stationary_Combustion[[#This Row],[Fuel]], Custom_EF[], 11,FALSE)&amp;"_to_"&amp;'S1-Stationary Combustion'!H72, Conversions!$B$52:$F$162, Conversions!$E$52, FALSE))*Stationary_Combustion[[#This Row],[Amount of fuel]]/1000), ""))</f>
        <v/>
      </c>
      <c r="J72" s="387" t="str">
        <f>IF(Stationary_Combustion[[#This Row],[Custom Emission Factors?]]="No", _xlfn.IFNA((VLOOKUP(Stationary_Combustion[[#This Row],[Fuel]], EF_Stationary_Combustion[], 4, FALSE)/IF(VLOOKUP(Stationary_Combustion[[#This Row],[Fuel]], EF_Stationary_Combustion[], 9,FALSE) ='S1-Stationary Combustion'!H72, 1, VLOOKUP(VLOOKUP(Stationary_Combustion[[#This Row],[Fuel]], EF_Stationary_Combustion[], 9,FALSE)&amp;"_to_"&amp;'S1-Stationary Combustion'!H72,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Combustion'!H72, 1, VLOOKUP(VLOOKUP(Stationary_Combustion[[#This Row],[Fuel]], Custom_EF[], 11,FALSE)&amp;"_to_"&amp;'S1-Stationary Combustion'!H72, Conversions!$B$52:$F$162, Conversions!$E$52, FALSE))*Stationary_Combustion[[#This Row],[Amount of fuel]]/1000), ""))</f>
        <v/>
      </c>
      <c r="K72" s="387" t="str">
        <f>IF(Stationary_Combustion[[#This Row],[Custom Emission Factors?]]="No", _xlfn.IFNA((VLOOKUP(Stationary_Combustion[[#This Row],[Fuel]], EF_Stationary_Combustion[], 5, FALSE)/IF(VLOOKUP(Stationary_Combustion[[#This Row],[Fuel]], EF_Stationary_Combustion[], 9,FALSE) ='S1-Stationary Combustion'!H72, 1, VLOOKUP(VLOOKUP(Stationary_Combustion[[#This Row],[Fuel]], EF_Stationary_Combustion[], 9,FALSE)&amp;"_to_"&amp;'S1-Stationary Combustion'!H72,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Combustion'!H72, 1, VLOOKUP(VLOOKUP(Stationary_Combustion[[#This Row],[Fuel]], Custom_EF[], 11,FALSE)&amp;"_to_"&amp;'S1-Stationary Combustion'!H72, Conversions!$B$52:$F$162, Conversions!$E$52, FALSE))*Stationary_Combustion[[#This Row],[Amount of fuel]]/1000), ""))</f>
        <v/>
      </c>
      <c r="L72" s="386" t="str">
        <f>IFERROR(IF(Parameters!$D$19="2014 IPCC Fifth Assessment", (I72*Data!$AJ$5)+(J72*Data!$AJ$6)+(K72*Data!$AJ$7), (I72*Data!$AI$5)+(J72*Data!$AI$6)+(K72*Data!$AI$7)), "")</f>
        <v/>
      </c>
      <c r="M72" s="386" t="str">
        <f>IF(Stationary_Combustion[[#This Row],[Custom Emission Factors?]]="No", _xlfn.IFNA((VLOOKUP(Stationary_Combustion[[#This Row],[Fuel]], EF_Stationary_Combustion[], 6, FALSE)/IF(VLOOKUP(Stationary_Combustion[[#This Row],[Fuel]], EF_Stationary_Combustion[], 9,FALSE) ='S1-Stationary Combustion'!H72, 1, VLOOKUP(VLOOKUP(Stationary_Combustion[[#This Row],[Fuel]], EF_Stationary_Combustion[], 9,FALSE)&amp;"_to_"&amp;'S1-Stationary Combustion'!H72,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Combustion'!H72, 1, VLOOKUP(VLOOKUP(Stationary_Combustion[[#This Row],[Fuel]], Custom_EF[], 10,FALSE)&amp;"_to_"&amp;'S1-Stationary Combustion'!H72, Conversions!$B$52:$F$162, Conversions!$E$52, FALSE))*Stationary_Combustion[[#This Row],[Amount of fuel]]/1000), ""))</f>
        <v/>
      </c>
      <c r="N72" s="388" t="str">
        <f>IF(Stationary_Combustion[[#This Row],[Custom Emission Factors?]]="No", _xlfn.IFNA(VLOOKUP(F72, EF_Stationary_Combustion[], IF(Parameters!$D$19="2014 IPCC Fifth Assessment", 'Emission Factors'!$I$9, 'Emission Factors'!$H$9), FALSE), ""), _xlfn.IFNA(VLOOKUP(Stationary_Combustion[[#This Row],[Fuel]], Custom_EF[], 9, FALSE), ""))</f>
        <v/>
      </c>
      <c r="O72" s="378" t="str">
        <f>IF(Stationary_Combustion[[#This Row],[EF (kgCO2e/unit)]]="", "", IF(Stationary_Combustion[[#This Row],[Custom Emission Factors?]]="Yes", VLOOKUP(Stationary_Combustion[[#This Row],[Fuel]], Custom_EF[], 4, FALSE), VLOOKUP(Stationary_Combustion[[#This Row],[Fuel]], EF_Stationary_Combustion[#All], 10, FALSE)))</f>
        <v/>
      </c>
    </row>
    <row r="73" spans="3:15">
      <c r="C73" s="383"/>
      <c r="D73" s="384"/>
      <c r="E73" s="384"/>
      <c r="F73" s="384"/>
      <c r="G73" s="385"/>
      <c r="H73" s="384"/>
      <c r="I73" s="386" t="str">
        <f>IF(Stationary_Combustion[[#This Row],[Custom Emission Factors?]]="No", _xlfn.IFNA((VLOOKUP(Stationary_Combustion[[#This Row],[Fuel]], EF_Stationary_Combustion[], 3, FALSE)/IF(VLOOKUP(Stationary_Combustion[[#This Row],[Fuel]], EF_Stationary_Combustion[], 9,FALSE) ='S1-Stationary Combustion'!H73, 1, VLOOKUP(VLOOKUP(Stationary_Combustion[[#This Row],[Fuel]], EF_Stationary_Combustion[], 9,FALSE)&amp;"_to_"&amp;'S1-Stationary Combustion'!H73,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Combustion'!H73, 1, VLOOKUP(VLOOKUP(Stationary_Combustion[[#This Row],[Fuel]], Custom_EF[], 11,FALSE)&amp;"_to_"&amp;'S1-Stationary Combustion'!H73, Conversions!$B$52:$F$162, Conversions!$E$52, FALSE))*Stationary_Combustion[[#This Row],[Amount of fuel]]/1000), ""))</f>
        <v/>
      </c>
      <c r="J73" s="387" t="str">
        <f>IF(Stationary_Combustion[[#This Row],[Custom Emission Factors?]]="No", _xlfn.IFNA((VLOOKUP(Stationary_Combustion[[#This Row],[Fuel]], EF_Stationary_Combustion[], 4, FALSE)/IF(VLOOKUP(Stationary_Combustion[[#This Row],[Fuel]], EF_Stationary_Combustion[], 9,FALSE) ='S1-Stationary Combustion'!H73, 1, VLOOKUP(VLOOKUP(Stationary_Combustion[[#This Row],[Fuel]], EF_Stationary_Combustion[], 9,FALSE)&amp;"_to_"&amp;'S1-Stationary Combustion'!H73,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Combustion'!H73, 1, VLOOKUP(VLOOKUP(Stationary_Combustion[[#This Row],[Fuel]], Custom_EF[], 11,FALSE)&amp;"_to_"&amp;'S1-Stationary Combustion'!H73, Conversions!$B$52:$F$162, Conversions!$E$52, FALSE))*Stationary_Combustion[[#This Row],[Amount of fuel]]/1000), ""))</f>
        <v/>
      </c>
      <c r="K73" s="387" t="str">
        <f>IF(Stationary_Combustion[[#This Row],[Custom Emission Factors?]]="No", _xlfn.IFNA((VLOOKUP(Stationary_Combustion[[#This Row],[Fuel]], EF_Stationary_Combustion[], 5, FALSE)/IF(VLOOKUP(Stationary_Combustion[[#This Row],[Fuel]], EF_Stationary_Combustion[], 9,FALSE) ='S1-Stationary Combustion'!H73, 1, VLOOKUP(VLOOKUP(Stationary_Combustion[[#This Row],[Fuel]], EF_Stationary_Combustion[], 9,FALSE)&amp;"_to_"&amp;'S1-Stationary Combustion'!H73,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Combustion'!H73, 1, VLOOKUP(VLOOKUP(Stationary_Combustion[[#This Row],[Fuel]], Custom_EF[], 11,FALSE)&amp;"_to_"&amp;'S1-Stationary Combustion'!H73, Conversions!$B$52:$F$162, Conversions!$E$52, FALSE))*Stationary_Combustion[[#This Row],[Amount of fuel]]/1000), ""))</f>
        <v/>
      </c>
      <c r="L73" s="386" t="str">
        <f>IFERROR(IF(Parameters!$D$19="2014 IPCC Fifth Assessment", (I73*Data!$AJ$5)+(J73*Data!$AJ$6)+(K73*Data!$AJ$7), (I73*Data!$AI$5)+(J73*Data!$AI$6)+(K73*Data!$AI$7)), "")</f>
        <v/>
      </c>
      <c r="M73" s="386" t="str">
        <f>IF(Stationary_Combustion[[#This Row],[Custom Emission Factors?]]="No", _xlfn.IFNA((VLOOKUP(Stationary_Combustion[[#This Row],[Fuel]], EF_Stationary_Combustion[], 6, FALSE)/IF(VLOOKUP(Stationary_Combustion[[#This Row],[Fuel]], EF_Stationary_Combustion[], 9,FALSE) ='S1-Stationary Combustion'!H73, 1, VLOOKUP(VLOOKUP(Stationary_Combustion[[#This Row],[Fuel]], EF_Stationary_Combustion[], 9,FALSE)&amp;"_to_"&amp;'S1-Stationary Combustion'!H73,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Combustion'!H73, 1, VLOOKUP(VLOOKUP(Stationary_Combustion[[#This Row],[Fuel]], Custom_EF[], 10,FALSE)&amp;"_to_"&amp;'S1-Stationary Combustion'!H73, Conversions!$B$52:$F$162, Conversions!$E$52, FALSE))*Stationary_Combustion[[#This Row],[Amount of fuel]]/1000), ""))</f>
        <v/>
      </c>
      <c r="N73" s="388" t="str">
        <f>IF(Stationary_Combustion[[#This Row],[Custom Emission Factors?]]="No", _xlfn.IFNA(VLOOKUP(F73, EF_Stationary_Combustion[], IF(Parameters!$D$19="2014 IPCC Fifth Assessment", 'Emission Factors'!$I$9, 'Emission Factors'!$H$9), FALSE), ""), _xlfn.IFNA(VLOOKUP(Stationary_Combustion[[#This Row],[Fuel]], Custom_EF[], 9, FALSE), ""))</f>
        <v/>
      </c>
      <c r="O73" s="378" t="str">
        <f>IF(Stationary_Combustion[[#This Row],[EF (kgCO2e/unit)]]="", "", IF(Stationary_Combustion[[#This Row],[Custom Emission Factors?]]="Yes", VLOOKUP(Stationary_Combustion[[#This Row],[Fuel]], Custom_EF[], 4, FALSE), VLOOKUP(Stationary_Combustion[[#This Row],[Fuel]], EF_Stationary_Combustion[#All], 10, FALSE)))</f>
        <v/>
      </c>
    </row>
    <row r="74" spans="3:15">
      <c r="C74" s="389"/>
      <c r="D74" s="390"/>
      <c r="E74" s="390"/>
      <c r="F74" s="390"/>
      <c r="G74" s="391"/>
      <c r="H74" s="390"/>
      <c r="I74" s="392" t="str">
        <f>IF(Stationary_Combustion[[#This Row],[Custom Emission Factors?]]="No", _xlfn.IFNA((VLOOKUP(Stationary_Combustion[[#This Row],[Fuel]], EF_Stationary_Combustion[], 3, FALSE)/IF(VLOOKUP(Stationary_Combustion[[#This Row],[Fuel]], EF_Stationary_Combustion[], 9,FALSE) ='S1-Stationary Combustion'!H74, 1, VLOOKUP(VLOOKUP(Stationary_Combustion[[#This Row],[Fuel]], EF_Stationary_Combustion[], 9,FALSE)&amp;"_to_"&amp;'S1-Stationary Combustion'!H74, Conversions!$B$52:$F$162, Conversions!$E$52, FALSE))*Stationary_Combustion[[#This Row],[Amount of fuel]]/1000), ""), _xlfn.IFNA((VLOOKUP(Stationary_Combustion[[#This Row],[Fuel]], Custom_EF[], 5,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Combustion'!H74, 1, VLOOKUP(VLOOKUP(Stationary_Combustion[[#This Row],[Fuel]], Custom_EF[], 11,FALSE)&amp;"_to_"&amp;'S1-Stationary Combustion'!H74, Conversions!$B$52:$F$162, Conversions!$E$52, FALSE))*Stationary_Combustion[[#This Row],[Amount of fuel]]/1000), ""))</f>
        <v/>
      </c>
      <c r="J74" s="393" t="str">
        <f>IF(Stationary_Combustion[[#This Row],[Custom Emission Factors?]]="No", _xlfn.IFNA((VLOOKUP(Stationary_Combustion[[#This Row],[Fuel]], EF_Stationary_Combustion[], 4, FALSE)/IF(VLOOKUP(Stationary_Combustion[[#This Row],[Fuel]], EF_Stationary_Combustion[], 9,FALSE) ='S1-Stationary Combustion'!H74, 1, VLOOKUP(VLOOKUP(Stationary_Combustion[[#This Row],[Fuel]], EF_Stationary_Combustion[], 9,FALSE)&amp;"_to_"&amp;'S1-Stationary Combustion'!H74, Conversions!$B$52:$F$162, Conversions!$E$52, FALSE))*Stationary_Combustion[[#This Row],[Amount of fuel]]/1000000), ""), _xlfn.IFNA((VLOOKUP(Stationary_Combustion[[#This Row],[Fuel]], Custom_EF[], 6,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Combustion'!H74, 1, VLOOKUP(VLOOKUP(Stationary_Combustion[[#This Row],[Fuel]], Custom_EF[], 11,FALSE)&amp;"_to_"&amp;'S1-Stationary Combustion'!H74, Conversions!$B$52:$F$162, Conversions!$E$52, FALSE))*Stationary_Combustion[[#This Row],[Amount of fuel]]/1000), ""))</f>
        <v/>
      </c>
      <c r="K74" s="393" t="str">
        <f>IF(Stationary_Combustion[[#This Row],[Custom Emission Factors?]]="No", _xlfn.IFNA((VLOOKUP(Stationary_Combustion[[#This Row],[Fuel]], EF_Stationary_Combustion[], 5, FALSE)/IF(VLOOKUP(Stationary_Combustion[[#This Row],[Fuel]], EF_Stationary_Combustion[], 9,FALSE) ='S1-Stationary Combustion'!H74, 1, VLOOKUP(VLOOKUP(Stationary_Combustion[[#This Row],[Fuel]], EF_Stationary_Combustion[], 9,FALSE)&amp;"_to_"&amp;'S1-Stationary Combustion'!H74, Conversions!$B$52:$F$162, Conversions!$E$52, FALSE))*Stationary_Combustion[[#This Row],[Amount of fuel]]/1000000), ""), _xlfn.IFNA((VLOOKUP(Stationary_Combustion[[#This Row],[Fuel]], Custom_EF[], 7, FALSE)*IF(VLOOKUP(Stationary_Combustion[[#This Row],[Fuel]], Custom_EF[], 10, FALSE)="kg", 1, IF(VLOOKUP(Stationary_Combustion[[#This Row],[Fuel]], Custom_EF[], 10, FALSE)="g", 0.001, IF(VLOOKUP(Stationary_Combustion[[#This Row],[Fuel]], Custom_EF[], 10, FALSE)="tonne", 1000)))/IF(VLOOKUP(Stationary_Combustion[[#This Row],[Fuel]], Custom_EF[], 11,FALSE) ='S1-Stationary Combustion'!H74, 1, VLOOKUP(VLOOKUP(Stationary_Combustion[[#This Row],[Fuel]], Custom_EF[], 11,FALSE)&amp;"_to_"&amp;'S1-Stationary Combustion'!H74, Conversions!$B$52:$F$162, Conversions!$E$52, FALSE))*Stationary_Combustion[[#This Row],[Amount of fuel]]/1000), ""))</f>
        <v/>
      </c>
      <c r="L74" s="392" t="str">
        <f>IFERROR(IF(Parameters!$D$19="2014 IPCC Fifth Assessment", (I74*Data!$AJ$5)+(J74*Data!$AJ$6)+(K74*Data!$AJ$7), (I74*Data!$AI$5)+(J74*Data!$AI$6)+(K74*Data!$AI$7)), "")</f>
        <v/>
      </c>
      <c r="M74" s="392" t="str">
        <f>IF(Stationary_Combustion[[#This Row],[Custom Emission Factors?]]="No", _xlfn.IFNA((VLOOKUP(Stationary_Combustion[[#This Row],[Fuel]], EF_Stationary_Combustion[], 6, FALSE)/IF(VLOOKUP(Stationary_Combustion[[#This Row],[Fuel]], EF_Stationary_Combustion[], 9,FALSE) ='S1-Stationary Combustion'!H74, 1, VLOOKUP(VLOOKUP(Stationary_Combustion[[#This Row],[Fuel]], EF_Stationary_Combustion[], 9,FALSE)&amp;"_to_"&amp;'S1-Stationary Combustion'!H74, Conversions!$B$52:$F$162, Conversions!$E$52, FALSE))*Stationary_Combustion[[#This Row],[Amount of fuel]]/1000), ""), _xlfn.IFNA((VLOOKUP(Stationary_Combustion[[#This Row],[Fuel]], Custom_EF[], 8, FALSE)*IF(VLOOKUP(Stationary_Combustion[[#This Row],[Fuel]], Custom_EF[], 10, FALSE)="kg", 1, IF(VLOOKUP(Stationary_Combustion[[#This Row],[Fuel]], Custom_EF[], 10, FALSE)="g", 0.001, IF(VLOOKUP(Stationary_Combustion[[#This Row],[Fuel]], Custom_EF[], 10, FALSE)="tonne", 1000)))/IF(VLOOKUP(Stationary_Combustion[[#This Row],[Fuel]], Custom_EF[], 10,FALSE) ='S1-Stationary Combustion'!H74, 1, VLOOKUP(VLOOKUP(Stationary_Combustion[[#This Row],[Fuel]], Custom_EF[], 10,FALSE)&amp;"_to_"&amp;'S1-Stationary Combustion'!H74, Conversions!$B$52:$F$162, Conversions!$E$52, FALSE))*Stationary_Combustion[[#This Row],[Amount of fuel]]/1000), ""))</f>
        <v/>
      </c>
      <c r="N74" s="394" t="str">
        <f>IF(Stationary_Combustion[[#This Row],[Custom Emission Factors?]]="No", _xlfn.IFNA(VLOOKUP(F74, EF_Stationary_Combustion[], IF(Parameters!$D$19="2014 IPCC Fifth Assessment", 'Emission Factors'!$I$9, 'Emission Factors'!$H$9), FALSE), ""), _xlfn.IFNA(VLOOKUP(Stationary_Combustion[[#This Row],[Fuel]], Custom_EF[], 9, FALSE), ""))</f>
        <v/>
      </c>
      <c r="O74" s="379" t="str">
        <f>IF(Stationary_Combustion[[#This Row],[EF (kgCO2e/unit)]]="", "", IF(Stationary_Combustion[[#This Row],[Custom Emission Factors?]]="Yes", VLOOKUP(Stationary_Combustion[[#This Row],[Fuel]], Custom_EF[], 4, FALSE), VLOOKUP(Stationary_Combustion[[#This Row],[Fuel]], EF_Stationary_Combustion[#All], 10, FALSE)))</f>
        <v/>
      </c>
    </row>
    <row r="75" spans="3:15" ht="16.5" customHeight="1">
      <c r="H75" s="913" t="s">
        <v>1220</v>
      </c>
      <c r="I75" s="914"/>
      <c r="J75" s="914"/>
      <c r="K75" s="914"/>
      <c r="L75" s="915"/>
      <c r="M75" s="324">
        <f>SUM(Stationary_Combustion[CO2e (tonnes)])</f>
        <v>1.3650000000000001E-2</v>
      </c>
    </row>
    <row r="76" spans="3:15" ht="16.5" customHeight="1">
      <c r="H76" s="913" t="s">
        <v>1221</v>
      </c>
      <c r="I76" s="914"/>
      <c r="J76" s="914"/>
      <c r="K76" s="914"/>
      <c r="L76" s="915"/>
      <c r="M76" s="324">
        <f>SUM(Stationary_Combustion[Biofuel CO2
(tonnes)])</f>
        <v>0</v>
      </c>
    </row>
  </sheetData>
  <mergeCells count="7">
    <mergeCell ref="H76:L76"/>
    <mergeCell ref="I20:M20"/>
    <mergeCell ref="C14:H14"/>
    <mergeCell ref="C11:L12"/>
    <mergeCell ref="N20:O20"/>
    <mergeCell ref="C20:H20"/>
    <mergeCell ref="H75:L75"/>
  </mergeCells>
  <conditionalFormatting sqref="I22:I74">
    <cfRule type="cellIs" dxfId="28" priority="3" operator="equal">
      <formula>0</formula>
    </cfRule>
  </conditionalFormatting>
  <conditionalFormatting sqref="M22:M74">
    <cfRule type="expression" dxfId="27" priority="1">
      <formula>IF(AND($I22&lt;&gt;"",$M22=""), TRUE)</formula>
    </cfRule>
    <cfRule type="cellIs" dxfId="26" priority="2" operator="equal">
      <formula>0</formula>
    </cfRule>
  </conditionalFormatting>
  <pageMargins left="0.7" right="0.7" top="0.75" bottom="0.75" header="0.3" footer="0.3"/>
  <pageSetup orientation="portrait" r:id="rId1"/>
  <drawing r:id="rId2"/>
  <tableParts count="1">
    <tablePart r:id="rId3"/>
  </tableParts>
  <extLst>
    <ext xmlns:x14="http://schemas.microsoft.com/office/spreadsheetml/2009/9/main" uri="{CCE6A557-97BC-4b89-ADB6-D9C93CAAB3DF}">
      <x14:dataValidations xmlns:xm="http://schemas.microsoft.com/office/excel/2006/main" count="4">
        <x14:dataValidation type="list" allowBlank="1" showInputMessage="1" showErrorMessage="1" xr:uid="{DEB32CA0-96D5-425D-8440-EBCB00BE1491}">
          <x14:formula1>
            <xm:f>Dropdowns!$F$2:$F$3</xm:f>
          </x14:formula1>
          <xm:sqref>E22:E74</xm:sqref>
        </x14:dataValidation>
        <x14:dataValidation type="list" allowBlank="1" showInputMessage="1" showErrorMessage="1" xr:uid="{610417B9-4057-4C8F-BBB6-F710D4946638}">
          <x14:formula1>
            <xm:f>Parameters!$C$31:$C$36</xm:f>
          </x14:formula1>
          <xm:sqref>D22:D74</xm:sqref>
        </x14:dataValidation>
        <x14:dataValidation type="list" allowBlank="1" showInputMessage="1" showErrorMessage="1" xr:uid="{036980B0-2BAF-49CB-B802-8A3F89B5809C}">
          <x14:formula1>
            <xm:f>Parameters!$F$43:$F$52</xm:f>
          </x14:formula1>
          <xm:sqref>C22:C74</xm:sqref>
        </x14:dataValidation>
        <x14:dataValidation type="list" allowBlank="1" showInputMessage="1" showErrorMessage="1" xr:uid="{B0E064F6-F64C-4DE2-A56C-C25909CA9837}">
          <x14:formula1>
            <xm:f>IF($E22="No", Dropdowns!$I$2:$I$60, S1_SC_Custom_EF)</xm:f>
          </x14:formula1>
          <xm:sqref>F22:F74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3019C-34AE-465B-931C-C82EBB50E943}">
  <sheetPr codeName="Sheet10">
    <tabColor rgb="FFFFC000"/>
  </sheetPr>
  <dimension ref="B1:R53"/>
  <sheetViews>
    <sheetView showGridLines="0" showRowColHeaders="0" topLeftCell="B16" zoomScale="115" zoomScaleNormal="115" workbookViewId="0">
      <selection activeCell="H24" sqref="H24"/>
    </sheetView>
  </sheetViews>
  <sheetFormatPr baseColWidth="10" defaultColWidth="8.7109375" defaultRowHeight="15"/>
  <cols>
    <col min="3" max="3" width="18.85546875" customWidth="1"/>
    <col min="4" max="4" width="21.28515625" customWidth="1"/>
    <col min="5" max="5" width="11.7109375" customWidth="1"/>
    <col min="6" max="6" width="23.5703125" customWidth="1"/>
    <col min="7" max="7" width="26.140625" customWidth="1"/>
    <col min="8" max="8" width="33.28515625" customWidth="1"/>
    <col min="9" max="9" width="16.5703125" customWidth="1"/>
    <col min="10" max="10" width="10.28515625" hidden="1" customWidth="1"/>
    <col min="11" max="11" width="19.140625" customWidth="1"/>
    <col min="12" max="12" width="12.7109375" customWidth="1"/>
    <col min="13" max="13" width="12.42578125" customWidth="1"/>
    <col min="14" max="14" width="12.5703125" customWidth="1"/>
    <col min="15" max="15" width="14.28515625" customWidth="1"/>
    <col min="16" max="16" width="14.85546875" customWidth="1"/>
    <col min="17" max="17" width="17.7109375" customWidth="1"/>
    <col min="18" max="18" width="103.140625" customWidth="1"/>
  </cols>
  <sheetData>
    <row r="1" spans="2:16" s="363" customFormat="1"/>
    <row r="2" spans="2:16" s="363" customFormat="1"/>
    <row r="3" spans="2:16" s="363" customFormat="1"/>
    <row r="4" spans="2:16" s="363" customFormat="1"/>
    <row r="5" spans="2:16" s="363" customFormat="1"/>
    <row r="6" spans="2:16" s="363" customFormat="1"/>
    <row r="7" spans="2:16" s="363" customFormat="1"/>
    <row r="8" spans="2:16" s="325" customFormat="1" ht="26.25">
      <c r="B8" s="488" t="s">
        <v>23</v>
      </c>
      <c r="C8" s="326"/>
    </row>
    <row r="9" spans="2:16" ht="15.75" thickBot="1"/>
    <row r="10" spans="2:16">
      <c r="C10" s="681"/>
      <c r="D10" s="504"/>
      <c r="E10" s="504"/>
      <c r="F10" s="504"/>
      <c r="G10" s="504"/>
      <c r="H10" s="504"/>
      <c r="I10" s="504"/>
      <c r="J10" s="504"/>
      <c r="K10" s="504"/>
      <c r="L10" s="505"/>
    </row>
    <row r="11" spans="2:16" ht="33.4" customHeight="1">
      <c r="C11" s="919" t="s">
        <v>1222</v>
      </c>
      <c r="D11" s="920"/>
      <c r="E11" s="920"/>
      <c r="F11" s="920"/>
      <c r="G11" s="920"/>
      <c r="H11" s="920"/>
      <c r="I11" s="920"/>
      <c r="J11" s="920"/>
      <c r="K11" s="920"/>
      <c r="L11" s="921"/>
      <c r="M11" s="356"/>
      <c r="N11" s="356"/>
      <c r="O11" s="356"/>
      <c r="P11" s="356"/>
    </row>
    <row r="12" spans="2:16" ht="12.4" customHeight="1">
      <c r="C12" s="834"/>
      <c r="D12" s="374"/>
      <c r="E12" s="374"/>
      <c r="F12" s="374"/>
      <c r="G12" s="374"/>
      <c r="H12" s="374"/>
      <c r="I12" s="374"/>
      <c r="J12" s="374"/>
      <c r="K12" s="374"/>
      <c r="L12" s="835"/>
      <c r="M12" s="374"/>
      <c r="N12" s="374"/>
      <c r="O12" s="374"/>
      <c r="P12" s="374"/>
    </row>
    <row r="13" spans="2:16" ht="104.25" customHeight="1">
      <c r="C13" s="919" t="s">
        <v>1223</v>
      </c>
      <c r="D13" s="920"/>
      <c r="E13" s="920"/>
      <c r="F13" s="920"/>
      <c r="G13" s="374"/>
      <c r="H13" s="374"/>
      <c r="I13" s="374"/>
      <c r="J13" s="374"/>
      <c r="K13" s="374"/>
      <c r="L13" s="835"/>
      <c r="M13" s="374"/>
      <c r="N13" s="374"/>
      <c r="O13" s="374"/>
      <c r="P13" s="374"/>
    </row>
    <row r="14" spans="2:16" ht="21.75" customHeight="1">
      <c r="C14" s="834"/>
      <c r="D14" s="374"/>
      <c r="E14" s="374"/>
      <c r="F14" s="374"/>
      <c r="G14" s="374"/>
      <c r="H14" s="374"/>
      <c r="I14" s="374"/>
      <c r="J14" s="374"/>
      <c r="K14" s="374"/>
      <c r="L14" s="835"/>
      <c r="M14" s="374"/>
      <c r="N14" s="374"/>
      <c r="O14" s="374"/>
      <c r="P14" s="374"/>
    </row>
    <row r="15" spans="2:16" ht="20.25">
      <c r="C15" s="426" t="s">
        <v>1205</v>
      </c>
      <c r="D15" s="248"/>
      <c r="E15" s="248"/>
      <c r="F15" s="248"/>
      <c r="G15" s="375"/>
      <c r="H15" s="375"/>
      <c r="I15" s="375"/>
      <c r="J15" s="375"/>
      <c r="K15" s="375"/>
      <c r="L15" s="427"/>
      <c r="M15" s="375"/>
      <c r="N15" s="375"/>
      <c r="O15" s="375"/>
      <c r="P15" s="375"/>
    </row>
    <row r="16" spans="2:16" ht="18.75">
      <c r="C16" s="428"/>
      <c r="D16" s="375"/>
      <c r="E16" s="375"/>
      <c r="F16" s="375"/>
      <c r="G16" s="375"/>
      <c r="H16" s="375"/>
      <c r="I16" s="375"/>
      <c r="J16" s="375"/>
      <c r="K16" s="375"/>
      <c r="L16" s="427"/>
      <c r="M16" s="375"/>
      <c r="N16" s="375"/>
      <c r="O16" s="375"/>
      <c r="P16" s="375"/>
    </row>
    <row r="17" spans="3:18" ht="18.75">
      <c r="C17" s="428"/>
      <c r="D17" s="375"/>
      <c r="E17" s="375"/>
      <c r="F17" s="375"/>
      <c r="G17" s="375"/>
      <c r="H17" s="375"/>
      <c r="I17" s="375"/>
      <c r="J17" s="375"/>
      <c r="K17" s="375"/>
      <c r="L17" s="427"/>
      <c r="M17" s="375"/>
      <c r="N17" s="375"/>
      <c r="O17" s="375"/>
      <c r="P17" s="375"/>
    </row>
    <row r="18" spans="3:18" ht="18.75">
      <c r="C18" s="428" t="s">
        <v>1224</v>
      </c>
      <c r="D18" s="375"/>
      <c r="E18" s="375"/>
      <c r="F18" s="375"/>
      <c r="G18" s="375"/>
      <c r="H18" s="375"/>
      <c r="I18" s="375"/>
      <c r="J18" s="375"/>
      <c r="K18" s="375"/>
      <c r="L18" s="427"/>
      <c r="M18" s="375"/>
      <c r="N18" s="375"/>
      <c r="O18" s="375"/>
      <c r="P18" s="375"/>
    </row>
    <row r="19" spans="3:18" ht="18.75">
      <c r="C19" s="428" t="s">
        <v>1225</v>
      </c>
      <c r="D19" s="375"/>
      <c r="E19" s="375"/>
      <c r="F19" s="375"/>
      <c r="G19" s="375"/>
      <c r="H19" s="375"/>
      <c r="I19" s="375"/>
      <c r="J19" s="375"/>
      <c r="K19" s="375"/>
      <c r="L19" s="427"/>
      <c r="M19" s="375"/>
      <c r="N19" s="375"/>
      <c r="O19" s="375"/>
      <c r="P19" s="375"/>
    </row>
    <row r="20" spans="3:18" ht="16.5" thickBot="1">
      <c r="C20" s="429"/>
      <c r="D20" s="635"/>
      <c r="E20" s="635"/>
      <c r="F20" s="635"/>
      <c r="G20" s="635"/>
      <c r="H20" s="635"/>
      <c r="I20" s="635"/>
      <c r="J20" s="635"/>
      <c r="K20" s="635"/>
      <c r="L20" s="636"/>
    </row>
    <row r="22" spans="3:18" ht="21.4" customHeight="1">
      <c r="C22" s="932" t="s">
        <v>206</v>
      </c>
      <c r="D22" s="932" t="s">
        <v>1226</v>
      </c>
      <c r="E22" s="934" t="s">
        <v>63</v>
      </c>
      <c r="F22" s="932" t="s">
        <v>77</v>
      </c>
      <c r="G22" s="932" t="s">
        <v>1227</v>
      </c>
      <c r="H22" s="933" t="s">
        <v>205</v>
      </c>
      <c r="I22" s="938"/>
      <c r="J22" s="938"/>
      <c r="K22" s="939"/>
      <c r="L22" s="937" t="s">
        <v>1228</v>
      </c>
      <c r="M22" s="938"/>
      <c r="N22" s="938"/>
      <c r="O22" s="938"/>
      <c r="P22" s="939"/>
      <c r="Q22" s="924" t="s">
        <v>1208</v>
      </c>
      <c r="R22" s="925"/>
    </row>
    <row r="23" spans="3:18" ht="34.5">
      <c r="C23" s="933"/>
      <c r="D23" s="933"/>
      <c r="E23" s="935"/>
      <c r="F23" s="933"/>
      <c r="G23" s="933"/>
      <c r="H23" s="936"/>
      <c r="I23" s="836" t="s">
        <v>1229</v>
      </c>
      <c r="J23" s="837" t="s">
        <v>1230</v>
      </c>
      <c r="K23" s="837" t="s">
        <v>1231</v>
      </c>
      <c r="L23" s="837" t="s">
        <v>1213</v>
      </c>
      <c r="M23" s="837" t="s">
        <v>1214</v>
      </c>
      <c r="N23" s="837" t="s">
        <v>1215</v>
      </c>
      <c r="O23" s="638" t="s">
        <v>1232</v>
      </c>
      <c r="P23" s="837" t="s">
        <v>1233</v>
      </c>
      <c r="Q23" s="638" t="s">
        <v>1218</v>
      </c>
      <c r="R23" s="638" t="s">
        <v>112</v>
      </c>
    </row>
    <row r="24" spans="3:18" ht="15.75">
      <c r="C24" s="344"/>
      <c r="D24" s="408"/>
      <c r="E24" s="395"/>
      <c r="F24" s="395"/>
      <c r="G24" s="395"/>
      <c r="H24" s="395"/>
      <c r="I24" s="408"/>
      <c r="J24" s="760"/>
      <c r="K24" s="395"/>
      <c r="L24" s="478" t="str">
        <f>IF(Table13[[#This Row],[Column4]]="Fuel Use", _xlfn.IFNA((VLOOKUP(G24&amp;" - "&amp;H24, Mobile_S1_EF[], 'Emission Factors'!$D$234, FALSE)/IF(VLOOKUP(G24&amp;" - "&amp;H24, Mobile_S1_EF[], 9,FALSE) =Table13[[#This Row],[Column10]], 1, VLOOKUP(VLOOKUP(G24&amp;" - "&amp;H24, Mobile_S1_EF[], 9,FALSE)&amp;"_to_"&amp;Table13[[#This Row],[Column10]], Conversions!$B$52:$F$162, Conversions!$E$52, FALSE))*Table13[[#This Row],[Column9]]/1000), ""), IF(Table13[[#This Row],[Column4]]="Distance Activity", _xlfn.IFNA((VLOOKUP(G24&amp;" - "&amp;H24,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24" s="445" t="str">
        <f>IF(Table13[[#This Row],[Column4]]="Fuel Use", _xlfn.IFNA((VLOOKUP(G24&amp;" - "&amp;H24, Mobile_S1_EF[], 'Emission Factors'!$E$234, FALSE)/IF(VLOOKUP(G24&amp;" - "&amp;H24, Mobile_S1_EF[], 9,FALSE) =Table13[[#This Row],[Column10]], 1, VLOOKUP(VLOOKUP(G24&amp;" - "&amp;H24, Mobile_S1_EF[], 9,FALSE)&amp;"_to_"&amp;Table13[[#This Row],[Column10]], Conversions!$B$52:$F$162, Conversions!$E$52, FALSE))*Table13[[#This Row],[Column9]]/1000), ""), IF(Table13[[#This Row],[Column4]]="Distance Activity", _xlfn.IFNA((VLOOKUP(G24&amp;" - "&amp;H24,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24" s="445" t="str">
        <f>IF(Table13[[#This Row],[Column4]]="Fuel Use", _xlfn.IFNA((VLOOKUP(G24&amp;" - "&amp;H24, Mobile_S1_EF[], 'Emission Factors'!$F$234, FALSE)/IF(VLOOKUP(G24&amp;" - "&amp;H24, Mobile_S1_EF[], 9,FALSE) =Table13[[#This Row],[Column10]], 1, VLOOKUP(VLOOKUP(G24&amp;" - "&amp;H24,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24" s="478" t="str">
        <f>IFERROR(IF(Parameters!$D$19="2014 IPCC Fifth Assessment", (Table13[[#This Row],[Column11]]*Data!$AJ$5)+(Table13[[#This Row],[Column12]]*Data!$AJ$6)+(Table13[[#This Row],[Column13]]*Data!$AJ$7), (Table13[[#This Row],[Column11]]*Data!$AI$5)+(Table13[[#This Row],[Column12]]*Data!$AI$6)+(Table13[[#This Row],[Column13]]*Data!$AI$7)), "")</f>
        <v/>
      </c>
      <c r="P24" s="478" t="str">
        <f>IF(Table13[[#This Row],[Column4]]="Fuel Use", _xlfn.IFNA((VLOOKUP(G24&amp;" - "&amp;H24, Mobile_S1_EF[], 'Emission Factors'!$G$234, FALSE)/IF(VLOOKUP(G24&amp;" - "&amp;H24, Mobile_S1_EF[], 9,FALSE) =Table13[[#This Row],[Column10]], 1, VLOOKUP(VLOOKUP(G24&amp;" - "&amp;H24,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24" s="479" t="str">
        <f>IF(Table13[[#This Row],[Column4]]="Fuel Use", _xlfn.IFNA(VLOOKUP(G24&amp;" - "&amp;H24, Mobile_S1_EF[], IF(Parameters!$D$19="2014 IPCC Fifth Assessment", 'Emission Factors'!$I$234, 'Emission Factors'!$H$234), FALSE), ""), IF(Table13[[#This Row],[Column4]]="Distance Activity", _xlfn.IFNA(VLOOKUP(G24&amp;" - "&amp;H24, Mobile_S1_EF[], IF(Parameters!$D$19="2014 IPCC Fifth Assessment", 'Emission Factors'!$I$234, 'Emission Factors'!$H$234), FALSE), ""), IF(Table13[[#This Row],[Column4]]="Custom emission factor", _xlfn.IFNA(VLOOKUP(Table13[[#This Row],[Column5]], Custom_EF[], 9, FALSE), ""), "")))</f>
        <v/>
      </c>
      <c r="R24" s="380" t="str">
        <f>_xlfn.IFNA(IF(Table13[[#This Row],[Column4]]&lt;&gt;"Custom emission factor", VLOOKUP(G24&amp;" - "&amp;H24, Mobile_S1_EF[], 'Emission Factors'!$K$234, FALSE), VLOOKUP(Table13[[#This Row],[Column5]], Custom_EF[], 4, FALSE)), "")</f>
        <v/>
      </c>
    </row>
    <row r="25" spans="3:18" ht="15.75">
      <c r="C25" s="344"/>
      <c r="D25" s="402"/>
      <c r="E25" s="397"/>
      <c r="F25" s="398"/>
      <c r="G25" s="395"/>
      <c r="H25" s="397"/>
      <c r="I25" s="402"/>
      <c r="J25" s="761"/>
      <c r="K25" s="395"/>
      <c r="L25" s="480" t="str">
        <f>IF(Table13[[#This Row],[Column4]]="Fuel Use", _xlfn.IFNA((VLOOKUP(G25&amp;" - "&amp;H25, Mobile_S1_EF[], 'Emission Factors'!$D$234, FALSE)/IF(VLOOKUP(G25&amp;" - "&amp;H25, Mobile_S1_EF[], 9,FALSE) =Table13[[#This Row],[Column10]], 1, VLOOKUP(VLOOKUP(G25&amp;" - "&amp;H25, Mobile_S1_EF[], 9,FALSE)&amp;"_to_"&amp;Table13[[#This Row],[Column10]], Conversions!$B$52:$F$162, Conversions!$E$52, FALSE))*Table13[[#This Row],[Column9]]/1000), ""), IF(Table13[[#This Row],[Column4]]="Distance Activity", _xlfn.IFNA((VLOOKUP(G25&amp;" - "&amp;H25,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25" s="445" t="str">
        <f>IF(Table13[[#This Row],[Column4]]="Fuel Use", _xlfn.IFNA((VLOOKUP(G25&amp;" - "&amp;H25, Mobile_S1_EF[], 'Emission Factors'!$E$234, FALSE)/IF(VLOOKUP(G25&amp;" - "&amp;H25, Mobile_S1_EF[], 9,FALSE) =Table13[[#This Row],[Column10]], 1, VLOOKUP(VLOOKUP(G25&amp;" - "&amp;H25, Mobile_S1_EF[], 9,FALSE)&amp;"_to_"&amp;Table13[[#This Row],[Column10]], Conversions!$B$52:$F$162, Conversions!$E$52, FALSE))*Table13[[#This Row],[Column9]]/1000), ""), IF(Table13[[#This Row],[Column4]]="Distance Activity", _xlfn.IFNA((VLOOKUP(G25&amp;" - "&amp;H25,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25" s="476" t="str">
        <f>IF(Table13[[#This Row],[Column4]]="Fuel Use", _xlfn.IFNA((VLOOKUP(G25&amp;" - "&amp;H25, Mobile_S1_EF[], 'Emission Factors'!$F$234, FALSE)/IF(VLOOKUP(G25&amp;" - "&amp;H25, Mobile_S1_EF[], 9,FALSE) =Table13[[#This Row],[Column10]], 1, VLOOKUP(VLOOKUP(G25&amp;" - "&amp;H25,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25" s="480" t="str">
        <f>IFERROR(IF(Parameters!$D$19="2014 IPCC Fifth Assessment", (Table13[[#This Row],[Column11]]*Data!$AJ$5)+(Table13[[#This Row],[Column12]]*Data!$AJ$6)+(Table13[[#This Row],[Column13]]*Data!$AJ$7), (Table13[[#This Row],[Column11]]*Data!$AI$5)+(Table13[[#This Row],[Column12]]*Data!$AI$6)+(Table13[[#This Row],[Column13]]*Data!$AI$7)), "")</f>
        <v/>
      </c>
      <c r="P25" s="480" t="str">
        <f>IF(Table13[[#This Row],[Column4]]="Fuel Use", _xlfn.IFNA((VLOOKUP(G25&amp;" - "&amp;H25, Mobile_S1_EF[], 'Emission Factors'!$G$234, FALSE)/IF(VLOOKUP(G25&amp;" - "&amp;H25, Mobile_S1_EF[], 9,FALSE) =Table13[[#This Row],[Column10]], 1, VLOOKUP(VLOOKUP(G25&amp;" - "&amp;H25,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25" s="480" t="str">
        <f>IF(Table13[[#This Row],[Column4]]="Fuel Use", _xlfn.IFNA(VLOOKUP(G25&amp;" - "&amp;H25, Mobile_S1_EF[], IF(Parameters!$D$19="2014 IPCC Fifth Assessment", 'Emission Factors'!$I$234, 'Emission Factors'!$H$234), FALSE), ""), IF(Table13[[#This Row],[Column4]]="Distance Activity", _xlfn.IFNA(VLOOKUP(G25&amp;" - "&amp;H25, Mobile_S1_EF[], IF(Parameters!$D$19="2014 IPCC Fifth Assessment", 'Emission Factors'!$I$234, 'Emission Factors'!$H$234), FALSE), ""), IF(Table13[[#This Row],[Column4]]="Custom emission factor", _xlfn.IFNA(VLOOKUP(Table13[[#This Row],[Column5]], Custom_EF[], 9, FALSE), ""), "")))</f>
        <v/>
      </c>
      <c r="R25" s="381" t="str">
        <f>_xlfn.IFNA(IF(Table13[[#This Row],[Column4]]&lt;&gt;"Custom emission factor", VLOOKUP(G25&amp;" - "&amp;H25, Mobile_S1_EF[], 'Emission Factors'!$K$234, FALSE), VLOOKUP(Table13[[#This Row],[Column5]], Custom_EF[], 4, FALSE)), "")</f>
        <v/>
      </c>
    </row>
    <row r="26" spans="3:18" ht="15.75">
      <c r="C26" s="344"/>
      <c r="D26" s="402"/>
      <c r="E26" s="397"/>
      <c r="F26" s="397"/>
      <c r="G26" s="395"/>
      <c r="H26" s="397"/>
      <c r="I26" s="402"/>
      <c r="J26" s="761"/>
      <c r="K26" s="395"/>
      <c r="L26" s="480" t="str">
        <f>IF(Table13[[#This Row],[Column4]]="Fuel Use", _xlfn.IFNA((VLOOKUP(G26&amp;" - "&amp;H26, Mobile_S1_EF[], 'Emission Factors'!$D$234, FALSE)/IF(VLOOKUP(G26&amp;" - "&amp;H26, Mobile_S1_EF[], 9,FALSE) =Table13[[#This Row],[Column10]], 1, VLOOKUP(VLOOKUP(G26&amp;" - "&amp;H26, Mobile_S1_EF[], 9,FALSE)&amp;"_to_"&amp;Table13[[#This Row],[Column10]], Conversions!$B$52:$F$162, Conversions!$E$52, FALSE))*Table13[[#This Row],[Column9]]/1000), ""), IF(Table13[[#This Row],[Column4]]="Distance Activity", _xlfn.IFNA((VLOOKUP(G26&amp;" - "&amp;H26,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26" s="476" t="str">
        <f>IF(Table13[[#This Row],[Column4]]="Fuel Use", _xlfn.IFNA((VLOOKUP(G26&amp;" - "&amp;H26, Mobile_S1_EF[], 'Emission Factors'!$E$234, FALSE)/IF(VLOOKUP(G26&amp;" - "&amp;H26, Mobile_S1_EF[], 9,FALSE) =Table13[[#This Row],[Column10]], 1, VLOOKUP(VLOOKUP(G26&amp;" - "&amp;H26, Mobile_S1_EF[], 9,FALSE)&amp;"_to_"&amp;Table13[[#This Row],[Column10]], Conversions!$B$52:$F$162, Conversions!$E$52, FALSE))*Table13[[#This Row],[Column9]]/1000), ""), IF(Table13[[#This Row],[Column4]]="Distance Activity", _xlfn.IFNA((VLOOKUP(G26&amp;" - "&amp;H26,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26" s="476" t="str">
        <f>IF(Table13[[#This Row],[Column4]]="Fuel Use", _xlfn.IFNA((VLOOKUP(G26&amp;" - "&amp;H26, Mobile_S1_EF[], 'Emission Factors'!$F$234, FALSE)/IF(VLOOKUP(G26&amp;" - "&amp;H26, Mobile_S1_EF[], 9,FALSE) =Table13[[#This Row],[Column10]], 1, VLOOKUP(VLOOKUP(G26&amp;" - "&amp;H26,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26" s="480" t="str">
        <f>IFERROR(IF(Parameters!$D$19="2014 IPCC Fifth Assessment", (Table13[[#This Row],[Column11]]*Data!$AJ$5)+(Table13[[#This Row],[Column12]]*Data!$AJ$6)+(Table13[[#This Row],[Column13]]*Data!$AJ$7), (Table13[[#This Row],[Column11]]*Data!$AI$5)+(Table13[[#This Row],[Column12]]*Data!$AI$6)+(Table13[[#This Row],[Column13]]*Data!$AI$7)), "")</f>
        <v/>
      </c>
      <c r="P26" s="480" t="str">
        <f>IF(Table13[[#This Row],[Column4]]="Fuel Use", _xlfn.IFNA((VLOOKUP(G26&amp;" - "&amp;H26, Mobile_S1_EF[], 'Emission Factors'!$G$234, FALSE)/IF(VLOOKUP(G26&amp;" - "&amp;H26, Mobile_S1_EF[], 9,FALSE) =Table13[[#This Row],[Column10]], 1, VLOOKUP(VLOOKUP(G26&amp;" - "&amp;H26,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26" s="480" t="str">
        <f>IF(Table13[[#This Row],[Column4]]="Fuel Use", _xlfn.IFNA(VLOOKUP(G26&amp;" - "&amp;H26, Mobile_S1_EF[], IF(Parameters!$D$19="2014 IPCC Fifth Assessment", 'Emission Factors'!$I$234, 'Emission Factors'!$H$234), FALSE), ""), IF(Table13[[#This Row],[Column4]]="Distance Activity", _xlfn.IFNA(VLOOKUP(G26&amp;" - "&amp;H26, Mobile_S1_EF[], IF(Parameters!$D$19="2014 IPCC Fifth Assessment", 'Emission Factors'!$I$234, 'Emission Factors'!$H$234), FALSE), ""), IF(Table13[[#This Row],[Column4]]="Custom emission factor", _xlfn.IFNA(VLOOKUP(Table13[[#This Row],[Column5]], Custom_EF[], 9, FALSE), ""), "")))</f>
        <v/>
      </c>
      <c r="R26" s="381" t="str">
        <f>_xlfn.IFNA(IF(Table13[[#This Row],[Column4]]&lt;&gt;"Custom emission factor", VLOOKUP(G26&amp;" - "&amp;H26, Mobile_S1_EF[], 'Emission Factors'!$K$234, FALSE), VLOOKUP(Table13[[#This Row],[Column5]], Custom_EF[], 4, FALSE)), "")</f>
        <v/>
      </c>
    </row>
    <row r="27" spans="3:18" ht="15.75">
      <c r="C27" s="345"/>
      <c r="D27" s="402"/>
      <c r="E27" s="397"/>
      <c r="F27" s="397"/>
      <c r="G27" s="395"/>
      <c r="H27" s="397"/>
      <c r="I27" s="402"/>
      <c r="J27" s="761"/>
      <c r="K27" s="395"/>
      <c r="L27" s="480" t="str">
        <f>IF(Table13[[#This Row],[Column4]]="Fuel Use", _xlfn.IFNA((VLOOKUP(G27&amp;" - "&amp;H27, Mobile_S1_EF[], 'Emission Factors'!$D$234, FALSE)/IF(VLOOKUP(G27&amp;" - "&amp;H27, Mobile_S1_EF[], 9,FALSE) =Table13[[#This Row],[Column10]], 1, VLOOKUP(VLOOKUP(G27&amp;" - "&amp;H27, Mobile_S1_EF[], 9,FALSE)&amp;"_to_"&amp;Table13[[#This Row],[Column10]], Conversions!$B$52:$F$162, Conversions!$E$52, FALSE))*Table13[[#This Row],[Column9]]/1000), ""), IF(Table13[[#This Row],[Column4]]="Distance Activity", _xlfn.IFNA((VLOOKUP(G27&amp;" - "&amp;H27,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27" s="476" t="str">
        <f>IF(Table13[[#This Row],[Column4]]="Fuel Use", _xlfn.IFNA((VLOOKUP(G27&amp;" - "&amp;H27, Mobile_S1_EF[], 'Emission Factors'!$E$234, FALSE)/IF(VLOOKUP(G27&amp;" - "&amp;H27, Mobile_S1_EF[], 9,FALSE) =Table13[[#This Row],[Column10]], 1, VLOOKUP(VLOOKUP(G27&amp;" - "&amp;H27, Mobile_S1_EF[], 9,FALSE)&amp;"_to_"&amp;Table13[[#This Row],[Column10]], Conversions!$B$52:$F$162, Conversions!$E$52, FALSE))*Table13[[#This Row],[Column9]]/1000), ""), IF(Table13[[#This Row],[Column4]]="Distance Activity", _xlfn.IFNA((VLOOKUP(G27&amp;" - "&amp;H27,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27" s="476" t="str">
        <f>IF(Table13[[#This Row],[Column4]]="Fuel Use", _xlfn.IFNA((VLOOKUP(G27&amp;" - "&amp;H27, Mobile_S1_EF[], 'Emission Factors'!$F$234, FALSE)/IF(VLOOKUP(G27&amp;" - "&amp;H27, Mobile_S1_EF[], 9,FALSE) =Table13[[#This Row],[Column10]], 1, VLOOKUP(VLOOKUP(G27&amp;" - "&amp;H27,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27" s="480" t="str">
        <f>IFERROR(IF(Parameters!$D$19="2014 IPCC Fifth Assessment", (Table13[[#This Row],[Column11]]*Data!$AJ$5)+(Table13[[#This Row],[Column12]]*Data!$AJ$6)+(Table13[[#This Row],[Column13]]*Data!$AJ$7), (Table13[[#This Row],[Column11]]*Data!$AI$5)+(Table13[[#This Row],[Column12]]*Data!$AI$6)+(Table13[[#This Row],[Column13]]*Data!$AI$7)), "")</f>
        <v/>
      </c>
      <c r="P27" s="480" t="str">
        <f>IF(Table13[[#This Row],[Column4]]="Fuel Use", _xlfn.IFNA((VLOOKUP(G27&amp;" - "&amp;H27, Mobile_S1_EF[], 'Emission Factors'!$G$234, FALSE)/IF(VLOOKUP(G27&amp;" - "&amp;H27, Mobile_S1_EF[], 9,FALSE) =Table13[[#This Row],[Column10]], 1, VLOOKUP(VLOOKUP(G27&amp;" - "&amp;H27,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27" s="480" t="str">
        <f>IF(Table13[[#This Row],[Column4]]="Fuel Use", _xlfn.IFNA(VLOOKUP(G27&amp;" - "&amp;H27, Mobile_S1_EF[], IF(Parameters!$D$19="2014 IPCC Fifth Assessment", 'Emission Factors'!$I$234, 'Emission Factors'!$H$234), FALSE), ""), IF(Table13[[#This Row],[Column4]]="Distance Activity", _xlfn.IFNA(VLOOKUP(G27&amp;" - "&amp;H27, Mobile_S1_EF[], IF(Parameters!$D$19="2014 IPCC Fifth Assessment", 'Emission Factors'!$I$234, 'Emission Factors'!$H$234), FALSE), ""), IF(Table13[[#This Row],[Column4]]="Custom emission factor", _xlfn.IFNA(VLOOKUP(Table13[[#This Row],[Column5]], Custom_EF[], 9, FALSE), ""), "")))</f>
        <v/>
      </c>
      <c r="R27" s="381" t="str">
        <f>_xlfn.IFNA(IF(Table13[[#This Row],[Column4]]&lt;&gt;"Custom emission factor", VLOOKUP(G27&amp;" - "&amp;H27, Mobile_S1_EF[], 'Emission Factors'!$K$234, FALSE), VLOOKUP(Table13[[#This Row],[Column5]], Custom_EF[], 4, FALSE)), "")</f>
        <v/>
      </c>
    </row>
    <row r="28" spans="3:18" ht="15.75">
      <c r="C28" s="345"/>
      <c r="D28" s="402"/>
      <c r="E28" s="397"/>
      <c r="F28" s="397"/>
      <c r="G28" s="395"/>
      <c r="H28" s="397"/>
      <c r="I28" s="402"/>
      <c r="J28" s="761"/>
      <c r="K28" s="395"/>
      <c r="L28" s="480" t="str">
        <f>IF(Table13[[#This Row],[Column4]]="Fuel Use", _xlfn.IFNA((VLOOKUP(G28&amp;" - "&amp;H28, Mobile_S1_EF[], 'Emission Factors'!$D$234, FALSE)/IF(VLOOKUP(G28&amp;" - "&amp;H28, Mobile_S1_EF[], 9,FALSE) =Table13[[#This Row],[Column10]], 1, VLOOKUP(VLOOKUP(G28&amp;" - "&amp;H28, Mobile_S1_EF[], 9,FALSE)&amp;"_to_"&amp;Table13[[#This Row],[Column10]], Conversions!$B$52:$F$162, Conversions!$E$52, FALSE))*Table13[[#This Row],[Column9]]/1000), ""), IF(Table13[[#This Row],[Column4]]="Distance Activity", _xlfn.IFNA((VLOOKUP(G28&amp;" - "&amp;H28,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28" s="476" t="str">
        <f>IF(Table13[[#This Row],[Column4]]="Fuel Use", _xlfn.IFNA((VLOOKUP(G28&amp;" - "&amp;H28, Mobile_S1_EF[], 'Emission Factors'!$E$234, FALSE)/IF(VLOOKUP(G28&amp;" - "&amp;H28, Mobile_S1_EF[], 9,FALSE) =Table13[[#This Row],[Column10]], 1, VLOOKUP(VLOOKUP(G28&amp;" - "&amp;H28, Mobile_S1_EF[], 9,FALSE)&amp;"_to_"&amp;Table13[[#This Row],[Column10]], Conversions!$B$52:$F$162, Conversions!$E$52, FALSE))*Table13[[#This Row],[Column9]]/1000), ""), IF(Table13[[#This Row],[Column4]]="Distance Activity", _xlfn.IFNA((VLOOKUP(G28&amp;" - "&amp;H28,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28" s="476" t="str">
        <f>IF(Table13[[#This Row],[Column4]]="Fuel Use", _xlfn.IFNA((VLOOKUP(G28&amp;" - "&amp;H28, Mobile_S1_EF[], 'Emission Factors'!$F$234, FALSE)/IF(VLOOKUP(G28&amp;" - "&amp;H28, Mobile_S1_EF[], 9,FALSE) =Table13[[#This Row],[Column10]], 1, VLOOKUP(VLOOKUP(G28&amp;" - "&amp;H28,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28" s="480" t="str">
        <f>IFERROR(IF(Parameters!$D$19="2014 IPCC Fifth Assessment", (Table13[[#This Row],[Column11]]*Data!$AJ$5)+(Table13[[#This Row],[Column12]]*Data!$AJ$6)+(Table13[[#This Row],[Column13]]*Data!$AJ$7), (Table13[[#This Row],[Column11]]*Data!$AI$5)+(Table13[[#This Row],[Column12]]*Data!$AI$6)+(Table13[[#This Row],[Column13]]*Data!$AI$7)), "")</f>
        <v/>
      </c>
      <c r="P28" s="480" t="str">
        <f>IF(Table13[[#This Row],[Column4]]="Fuel Use", _xlfn.IFNA((VLOOKUP(G28&amp;" - "&amp;H28, Mobile_S1_EF[], 'Emission Factors'!$G$234, FALSE)/IF(VLOOKUP(G28&amp;" - "&amp;H28, Mobile_S1_EF[], 9,FALSE) =Table13[[#This Row],[Column10]], 1, VLOOKUP(VLOOKUP(G28&amp;" - "&amp;H28,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28" s="480" t="str">
        <f>IF(Table13[[#This Row],[Column4]]="Fuel Use", _xlfn.IFNA(VLOOKUP(G28&amp;" - "&amp;H28, Mobile_S1_EF[], IF(Parameters!$D$19="2014 IPCC Fifth Assessment", 'Emission Factors'!$I$234, 'Emission Factors'!$H$234), FALSE), ""), IF(Table13[[#This Row],[Column4]]="Distance Activity", _xlfn.IFNA(VLOOKUP(G28&amp;" - "&amp;H28, Mobile_S1_EF[], IF(Parameters!$D$19="2014 IPCC Fifth Assessment", 'Emission Factors'!$I$234, 'Emission Factors'!$H$234), FALSE), ""), IF(Table13[[#This Row],[Column4]]="Custom emission factor", _xlfn.IFNA(VLOOKUP(Table13[[#This Row],[Column5]], Custom_EF[], 9, FALSE), ""), "")))</f>
        <v/>
      </c>
      <c r="R28" s="381" t="str">
        <f>_xlfn.IFNA(IF(Table13[[#This Row],[Column4]]&lt;&gt;"Custom emission factor", VLOOKUP(G28&amp;" - "&amp;H28, Mobile_S1_EF[], 'Emission Factors'!$K$234, FALSE), VLOOKUP(Table13[[#This Row],[Column5]], Custom_EF[], 4, FALSE)), "")</f>
        <v/>
      </c>
    </row>
    <row r="29" spans="3:18" ht="15.75">
      <c r="C29" s="345"/>
      <c r="D29" s="402"/>
      <c r="E29" s="397"/>
      <c r="F29" s="397"/>
      <c r="G29" s="395"/>
      <c r="H29" s="399"/>
      <c r="I29" s="402"/>
      <c r="J29" s="761"/>
      <c r="K29" s="395"/>
      <c r="L29" s="480" t="str">
        <f>IF(Table13[[#This Row],[Column4]]="Fuel Use", _xlfn.IFNA((VLOOKUP(G29&amp;" - "&amp;H29, Mobile_S1_EF[], 'Emission Factors'!$D$234, FALSE)/IF(VLOOKUP(G29&amp;" - "&amp;H29, Mobile_S1_EF[], 9,FALSE) =Table13[[#This Row],[Column10]], 1, VLOOKUP(VLOOKUP(G29&amp;" - "&amp;H29, Mobile_S1_EF[], 9,FALSE)&amp;"_to_"&amp;Table13[[#This Row],[Column10]], Conversions!$B$52:$F$162, Conversions!$E$52, FALSE))*Table13[[#This Row],[Column9]]/1000), ""), IF(Table13[[#This Row],[Column4]]="Distance Activity", _xlfn.IFNA((VLOOKUP(G29&amp;" - "&amp;H29,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29" s="476" t="str">
        <f>IF(Table13[[#This Row],[Column4]]="Fuel Use", _xlfn.IFNA((VLOOKUP(G29&amp;" - "&amp;H29, Mobile_S1_EF[], 'Emission Factors'!$E$234, FALSE)/IF(VLOOKUP(G29&amp;" - "&amp;H29, Mobile_S1_EF[], 9,FALSE) =Table13[[#This Row],[Column10]], 1, VLOOKUP(VLOOKUP(G29&amp;" - "&amp;H29, Mobile_S1_EF[], 9,FALSE)&amp;"_to_"&amp;Table13[[#This Row],[Column10]], Conversions!$B$52:$F$162, Conversions!$E$52, FALSE))*Table13[[#This Row],[Column9]]/1000), ""), IF(Table13[[#This Row],[Column4]]="Distance Activity", _xlfn.IFNA((VLOOKUP(G29&amp;" - "&amp;H29,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29" s="476" t="str">
        <f>IF(Table13[[#This Row],[Column4]]="Fuel Use", _xlfn.IFNA((VLOOKUP(G29&amp;" - "&amp;H29, Mobile_S1_EF[], 'Emission Factors'!$F$234, FALSE)/IF(VLOOKUP(G29&amp;" - "&amp;H29, Mobile_S1_EF[], 9,FALSE) =Table13[[#This Row],[Column10]], 1, VLOOKUP(VLOOKUP(G29&amp;" - "&amp;H29,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29" s="480" t="str">
        <f>IFERROR(IF(Parameters!$D$19="2014 IPCC Fifth Assessment", (Table13[[#This Row],[Column11]]*Data!$AJ$5)+(Table13[[#This Row],[Column12]]*Data!$AJ$6)+(Table13[[#This Row],[Column13]]*Data!$AJ$7), (Table13[[#This Row],[Column11]]*Data!$AI$5)+(Table13[[#This Row],[Column12]]*Data!$AI$6)+(Table13[[#This Row],[Column13]]*Data!$AI$7)), "")</f>
        <v/>
      </c>
      <c r="P29" s="480" t="str">
        <f>IF(Table13[[#This Row],[Column4]]="Fuel Use", _xlfn.IFNA((VLOOKUP(G29&amp;" - "&amp;H29, Mobile_S1_EF[], 'Emission Factors'!$G$234, FALSE)/IF(VLOOKUP(G29&amp;" - "&amp;H29, Mobile_S1_EF[], 9,FALSE) =Table13[[#This Row],[Column10]], 1, VLOOKUP(VLOOKUP(G29&amp;" - "&amp;H29,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29" s="480" t="str">
        <f>IF(Table13[[#This Row],[Column4]]="Fuel Use", _xlfn.IFNA(VLOOKUP(G29&amp;" - "&amp;H29, Mobile_S1_EF[], IF(Parameters!$D$19="2014 IPCC Fifth Assessment", 'Emission Factors'!$I$234, 'Emission Factors'!$H$234), FALSE), ""), IF(Table13[[#This Row],[Column4]]="Distance Activity", _xlfn.IFNA(VLOOKUP(G29&amp;" - "&amp;H29, Mobile_S1_EF[], IF(Parameters!$D$19="2014 IPCC Fifth Assessment", 'Emission Factors'!$I$234, 'Emission Factors'!$H$234), FALSE), ""), IF(Table13[[#This Row],[Column4]]="Custom emission factor", _xlfn.IFNA(VLOOKUP(Table13[[#This Row],[Column5]], Custom_EF[], 9, FALSE), ""), "")))</f>
        <v/>
      </c>
      <c r="R29" s="381" t="str">
        <f>_xlfn.IFNA(IF(Table13[[#This Row],[Column4]]&lt;&gt;"Custom emission factor", VLOOKUP(G29&amp;" - "&amp;H29, Mobile_S1_EF[], 'Emission Factors'!$K$234, FALSE), VLOOKUP(Table13[[#This Row],[Column5]], Custom_EF[], 4, FALSE)), "")</f>
        <v/>
      </c>
    </row>
    <row r="30" spans="3:18" ht="15.75">
      <c r="C30" s="345"/>
      <c r="D30" s="402"/>
      <c r="E30" s="397"/>
      <c r="F30" s="397"/>
      <c r="G30" s="395"/>
      <c r="H30" s="399"/>
      <c r="I30" s="402"/>
      <c r="J30"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30" s="395"/>
      <c r="L30" s="480" t="str">
        <f>IF(Table13[[#This Row],[Column4]]="Fuel Use", _xlfn.IFNA((VLOOKUP(G30&amp;" - "&amp;H30, Mobile_S1_EF[], 'Emission Factors'!$D$234, FALSE)/IF(VLOOKUP(G30&amp;" - "&amp;H30, Mobile_S1_EF[], 9,FALSE) =Table13[[#This Row],[Column10]], 1, VLOOKUP(VLOOKUP(G30&amp;" - "&amp;H30, Mobile_S1_EF[], 9,FALSE)&amp;"_to_"&amp;Table13[[#This Row],[Column10]], Conversions!$B$52:$F$162, Conversions!$E$52, FALSE))*Table13[[#This Row],[Column9]]/1000), ""), IF(Table13[[#This Row],[Column4]]="Distance Activity", _xlfn.IFNA((VLOOKUP(G30&amp;" - "&amp;H30,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30" s="476" t="str">
        <f>IF(Table13[[#This Row],[Column4]]="Fuel Use", _xlfn.IFNA((VLOOKUP(G30&amp;" - "&amp;H30, Mobile_S1_EF[], 'Emission Factors'!$E$234, FALSE)/IF(VLOOKUP(G30&amp;" - "&amp;H30, Mobile_S1_EF[], 9,FALSE) =Table13[[#This Row],[Column10]], 1, VLOOKUP(VLOOKUP(G30&amp;" - "&amp;H30, Mobile_S1_EF[], 9,FALSE)&amp;"_to_"&amp;Table13[[#This Row],[Column10]], Conversions!$B$52:$F$162, Conversions!$E$52, FALSE))*Table13[[#This Row],[Column9]]/1000), ""), IF(Table13[[#This Row],[Column4]]="Distance Activity", _xlfn.IFNA((VLOOKUP(G30&amp;" - "&amp;H30,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30" s="476" t="str">
        <f>IF(Table13[[#This Row],[Column4]]="Fuel Use", _xlfn.IFNA((VLOOKUP(G30&amp;" - "&amp;H30, Mobile_S1_EF[], 'Emission Factors'!$F$234, FALSE)/IF(VLOOKUP(G30&amp;" - "&amp;H30, Mobile_S1_EF[], 9,FALSE) =Table13[[#This Row],[Column10]], 1, VLOOKUP(VLOOKUP(G30&amp;" - "&amp;H30,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30" s="480" t="str">
        <f>IFERROR(IF(Parameters!$D$19="2014 IPCC Fifth Assessment", (Table13[[#This Row],[Column11]]*Data!$AJ$5)+(Table13[[#This Row],[Column12]]*Data!$AJ$6)+(Table13[[#This Row],[Column13]]*Data!$AJ$7), (Table13[[#This Row],[Column11]]*Data!$AI$5)+(Table13[[#This Row],[Column12]]*Data!$AI$6)+(Table13[[#This Row],[Column13]]*Data!$AI$7)), "")</f>
        <v/>
      </c>
      <c r="P30" s="480" t="str">
        <f>IF(Table13[[#This Row],[Column4]]="Fuel Use", _xlfn.IFNA((VLOOKUP(G30&amp;" - "&amp;H30, Mobile_S1_EF[], 'Emission Factors'!$G$234, FALSE)/IF(VLOOKUP(G30&amp;" - "&amp;H30, Mobile_S1_EF[], 9,FALSE) =Table13[[#This Row],[Column10]], 1, VLOOKUP(VLOOKUP(G30&amp;" - "&amp;H30,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30" s="480" t="str">
        <f>IF(Table13[[#This Row],[Column4]]="Fuel Use", _xlfn.IFNA(VLOOKUP(G30&amp;" - "&amp;H30, Mobile_S1_EF[], IF(Parameters!$D$19="2014 IPCC Fifth Assessment", 'Emission Factors'!$I$234, 'Emission Factors'!$H$234), FALSE), ""), IF(Table13[[#This Row],[Column4]]="Distance Activity", _xlfn.IFNA(VLOOKUP(G30&amp;" - "&amp;H30, Mobile_S1_EF[], IF(Parameters!$D$19="2014 IPCC Fifth Assessment", 'Emission Factors'!$I$234, 'Emission Factors'!$H$234), FALSE), ""), IF(Table13[[#This Row],[Column4]]="Custom emission factor", _xlfn.IFNA(VLOOKUP(Table13[[#This Row],[Column5]], Custom_EF[], 9, FALSE), ""), "")))</f>
        <v/>
      </c>
      <c r="R30" s="381" t="str">
        <f>_xlfn.IFNA(IF(Table13[[#This Row],[Column4]]&lt;&gt;"Custom emission factor", VLOOKUP(G30&amp;" - "&amp;H30, Mobile_S1_EF[], 'Emission Factors'!$K$234, FALSE), VLOOKUP(Table13[[#This Row],[Column5]], Custom_EF[], 4, FALSE)), "")</f>
        <v/>
      </c>
    </row>
    <row r="31" spans="3:18" ht="15.75">
      <c r="C31" s="345"/>
      <c r="D31" s="402"/>
      <c r="E31" s="397"/>
      <c r="F31" s="397"/>
      <c r="G31" s="395"/>
      <c r="H31" s="399"/>
      <c r="I31" s="402"/>
      <c r="J31"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31" s="395"/>
      <c r="L31" s="480" t="str">
        <f>IF(Table13[[#This Row],[Column4]]="Fuel Use", _xlfn.IFNA((VLOOKUP(G31&amp;" - "&amp;H31, Mobile_S1_EF[], 'Emission Factors'!$D$234, FALSE)/IF(VLOOKUP(G31&amp;" - "&amp;H31, Mobile_S1_EF[], 9,FALSE) =Table13[[#This Row],[Column10]], 1, VLOOKUP(VLOOKUP(G31&amp;" - "&amp;H31, Mobile_S1_EF[], 9,FALSE)&amp;"_to_"&amp;Table13[[#This Row],[Column10]], Conversions!$B$52:$F$162, Conversions!$E$52, FALSE))*Table13[[#This Row],[Column9]]/1000), ""), IF(Table13[[#This Row],[Column4]]="Distance Activity", _xlfn.IFNA((VLOOKUP(G31&amp;" - "&amp;H31,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31" s="476" t="str">
        <f>IF(Table13[[#This Row],[Column4]]="Fuel Use", _xlfn.IFNA((VLOOKUP(G31&amp;" - "&amp;H31, Mobile_S1_EF[], 'Emission Factors'!$E$234, FALSE)/IF(VLOOKUP(G31&amp;" - "&amp;H31, Mobile_S1_EF[], 9,FALSE) =Table13[[#This Row],[Column10]], 1, VLOOKUP(VLOOKUP(G31&amp;" - "&amp;H31, Mobile_S1_EF[], 9,FALSE)&amp;"_to_"&amp;Table13[[#This Row],[Column10]], Conversions!$B$52:$F$162, Conversions!$E$52, FALSE))*Table13[[#This Row],[Column9]]/1000), ""), IF(Table13[[#This Row],[Column4]]="Distance Activity", _xlfn.IFNA((VLOOKUP(G31&amp;" - "&amp;H31,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31" s="476" t="str">
        <f>IF(Table13[[#This Row],[Column4]]="Fuel Use", _xlfn.IFNA((VLOOKUP(G31&amp;" - "&amp;H31, Mobile_S1_EF[], 'Emission Factors'!$F$234, FALSE)/IF(VLOOKUP(G31&amp;" - "&amp;H31, Mobile_S1_EF[], 9,FALSE) =Table13[[#This Row],[Column10]], 1, VLOOKUP(VLOOKUP(G31&amp;" - "&amp;H31,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31" s="480" t="str">
        <f>IFERROR(IF(Parameters!$D$19="2014 IPCC Fifth Assessment", (Table13[[#This Row],[Column11]]*Data!$AJ$5)+(Table13[[#This Row],[Column12]]*Data!$AJ$6)+(Table13[[#This Row],[Column13]]*Data!$AJ$7), (Table13[[#This Row],[Column11]]*Data!$AI$5)+(Table13[[#This Row],[Column12]]*Data!$AI$6)+(Table13[[#This Row],[Column13]]*Data!$AI$7)), "")</f>
        <v/>
      </c>
      <c r="P31" s="480" t="str">
        <f>IF(Table13[[#This Row],[Column4]]="Fuel Use", _xlfn.IFNA((VLOOKUP(G31&amp;" - "&amp;H31, Mobile_S1_EF[], 'Emission Factors'!$G$234, FALSE)/IF(VLOOKUP(G31&amp;" - "&amp;H31, Mobile_S1_EF[], 9,FALSE) =Table13[[#This Row],[Column10]], 1, VLOOKUP(VLOOKUP(G31&amp;" - "&amp;H31,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31" s="480" t="str">
        <f>IF(Table13[[#This Row],[Column4]]="Fuel Use", _xlfn.IFNA(VLOOKUP(G31&amp;" - "&amp;H31, Mobile_S1_EF[], IF(Parameters!$D$19="2014 IPCC Fifth Assessment", 'Emission Factors'!$I$234, 'Emission Factors'!$H$234), FALSE), ""), IF(Table13[[#This Row],[Column4]]="Distance Activity", _xlfn.IFNA(VLOOKUP(G31&amp;" - "&amp;H31, Mobile_S1_EF[], IF(Parameters!$D$19="2014 IPCC Fifth Assessment", 'Emission Factors'!$I$234, 'Emission Factors'!$H$234), FALSE), ""), IF(Table13[[#This Row],[Column4]]="Custom emission factor", _xlfn.IFNA(VLOOKUP(Table13[[#This Row],[Column5]], Custom_EF[], 9, FALSE), ""), "")))</f>
        <v/>
      </c>
      <c r="R31" s="381" t="str">
        <f>_xlfn.IFNA(IF(Table13[[#This Row],[Column4]]&lt;&gt;"Custom emission factor", VLOOKUP(G31&amp;" - "&amp;H31, Mobile_S1_EF[], 'Emission Factors'!$K$234, FALSE), VLOOKUP(Table13[[#This Row],[Column5]], Custom_EF[], 4, FALSE)), "")</f>
        <v/>
      </c>
    </row>
    <row r="32" spans="3:18" ht="15.75">
      <c r="C32" s="345"/>
      <c r="D32" s="402"/>
      <c r="E32" s="397"/>
      <c r="F32" s="397"/>
      <c r="G32" s="395"/>
      <c r="H32" s="399"/>
      <c r="I32" s="402"/>
      <c r="J32"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32" s="395"/>
      <c r="L32" s="480" t="str">
        <f>IF(Table13[[#This Row],[Column4]]="Fuel Use", _xlfn.IFNA((VLOOKUP(G32&amp;" - "&amp;H32, Mobile_S1_EF[], 'Emission Factors'!$D$234, FALSE)/IF(VLOOKUP(G32&amp;" - "&amp;H32, Mobile_S1_EF[], 9,FALSE) =Table13[[#This Row],[Column10]], 1, VLOOKUP(VLOOKUP(G32&amp;" - "&amp;H32, Mobile_S1_EF[], 9,FALSE)&amp;"_to_"&amp;Table13[[#This Row],[Column10]], Conversions!$B$52:$F$162, Conversions!$E$52, FALSE))*Table13[[#This Row],[Column9]]/1000), ""), IF(Table13[[#This Row],[Column4]]="Distance Activity", _xlfn.IFNA((VLOOKUP(G32&amp;" - "&amp;H32,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32" s="476" t="str">
        <f>IF(Table13[[#This Row],[Column4]]="Fuel Use", _xlfn.IFNA((VLOOKUP(G32&amp;" - "&amp;H32, Mobile_S1_EF[], 'Emission Factors'!$E$234, FALSE)/IF(VLOOKUP(G32&amp;" - "&amp;H32, Mobile_S1_EF[], 9,FALSE) =Table13[[#This Row],[Column10]], 1, VLOOKUP(VLOOKUP(G32&amp;" - "&amp;H32, Mobile_S1_EF[], 9,FALSE)&amp;"_to_"&amp;Table13[[#This Row],[Column10]], Conversions!$B$52:$F$162, Conversions!$E$52, FALSE))*Table13[[#This Row],[Column9]]/1000), ""), IF(Table13[[#This Row],[Column4]]="Distance Activity", _xlfn.IFNA((VLOOKUP(G32&amp;" - "&amp;H32,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32" s="476" t="str">
        <f>IF(Table13[[#This Row],[Column4]]="Fuel Use", _xlfn.IFNA((VLOOKUP(G32&amp;" - "&amp;H32, Mobile_S1_EF[], 'Emission Factors'!$F$234, FALSE)/IF(VLOOKUP(G32&amp;" - "&amp;H32, Mobile_S1_EF[], 9,FALSE) =Table13[[#This Row],[Column10]], 1, VLOOKUP(VLOOKUP(G32&amp;" - "&amp;H32,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32" s="480" t="str">
        <f>IFERROR(IF(Parameters!$D$19="2014 IPCC Fifth Assessment", (Table13[[#This Row],[Column11]]*Data!$AJ$5)+(Table13[[#This Row],[Column12]]*Data!$AJ$6)+(Table13[[#This Row],[Column13]]*Data!$AJ$7), (Table13[[#This Row],[Column11]]*Data!$AI$5)+(Table13[[#This Row],[Column12]]*Data!$AI$6)+(Table13[[#This Row],[Column13]]*Data!$AI$7)), "")</f>
        <v/>
      </c>
      <c r="P32" s="480" t="str">
        <f>IF(Table13[[#This Row],[Column4]]="Fuel Use", _xlfn.IFNA((VLOOKUP(G32&amp;" - "&amp;H32, Mobile_S1_EF[], 'Emission Factors'!$G$234, FALSE)/IF(VLOOKUP(G32&amp;" - "&amp;H32, Mobile_S1_EF[], 9,FALSE) =Table13[[#This Row],[Column10]], 1, VLOOKUP(VLOOKUP(G32&amp;" - "&amp;H32,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32" s="480" t="str">
        <f>IF(Table13[[#This Row],[Column4]]="Fuel Use", _xlfn.IFNA(VLOOKUP(G32&amp;" - "&amp;H32, Mobile_S1_EF[], IF(Parameters!$D$19="2014 IPCC Fifth Assessment", 'Emission Factors'!$I$234, 'Emission Factors'!$H$234), FALSE), ""), IF(Table13[[#This Row],[Column4]]="Distance Activity", _xlfn.IFNA(VLOOKUP(G32&amp;" - "&amp;H32, Mobile_S1_EF[], IF(Parameters!$D$19="2014 IPCC Fifth Assessment", 'Emission Factors'!$I$234, 'Emission Factors'!$H$234), FALSE), ""), IF(Table13[[#This Row],[Column4]]="Custom emission factor", _xlfn.IFNA(VLOOKUP(Table13[[#This Row],[Column5]], Custom_EF[], 9, FALSE), ""), "")))</f>
        <v/>
      </c>
      <c r="R32" s="381" t="str">
        <f>_xlfn.IFNA(IF(Table13[[#This Row],[Column4]]&lt;&gt;"Custom emission factor", VLOOKUP(G32&amp;" - "&amp;H32, Mobile_S1_EF[], 'Emission Factors'!$K$234, FALSE), VLOOKUP(Table13[[#This Row],[Column5]], Custom_EF[], 4, FALSE)), "")</f>
        <v/>
      </c>
    </row>
    <row r="33" spans="3:18" ht="15.75">
      <c r="C33" s="345"/>
      <c r="D33" s="402"/>
      <c r="E33" s="397"/>
      <c r="F33" s="397"/>
      <c r="G33" s="395"/>
      <c r="H33" s="399"/>
      <c r="I33" s="402"/>
      <c r="J33"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33" s="395"/>
      <c r="L33" s="480" t="str">
        <f>IF(Table13[[#This Row],[Column4]]="Fuel Use", _xlfn.IFNA((VLOOKUP(G33&amp;" - "&amp;H33, Mobile_S1_EF[], 'Emission Factors'!$D$234, FALSE)/IF(VLOOKUP(G33&amp;" - "&amp;H33, Mobile_S1_EF[], 9,FALSE) =Table13[[#This Row],[Column10]], 1, VLOOKUP(VLOOKUP(G33&amp;" - "&amp;H33, Mobile_S1_EF[], 9,FALSE)&amp;"_to_"&amp;Table13[[#This Row],[Column10]], Conversions!$B$52:$F$162, Conversions!$E$52, FALSE))*Table13[[#This Row],[Column9]]/1000), ""), IF(Table13[[#This Row],[Column4]]="Distance Activity", _xlfn.IFNA((VLOOKUP(G33&amp;" - "&amp;H33,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33" s="476" t="str">
        <f>IF(Table13[[#This Row],[Column4]]="Fuel Use", _xlfn.IFNA((VLOOKUP(G33&amp;" - "&amp;H33, Mobile_S1_EF[], 'Emission Factors'!$E$234, FALSE)/IF(VLOOKUP(G33&amp;" - "&amp;H33, Mobile_S1_EF[], 9,FALSE) =Table13[[#This Row],[Column10]], 1, VLOOKUP(VLOOKUP(G33&amp;" - "&amp;H33, Mobile_S1_EF[], 9,FALSE)&amp;"_to_"&amp;Table13[[#This Row],[Column10]], Conversions!$B$52:$F$162, Conversions!$E$52, FALSE))*Table13[[#This Row],[Column9]]/1000), ""), IF(Table13[[#This Row],[Column4]]="Distance Activity", _xlfn.IFNA((VLOOKUP(G33&amp;" - "&amp;H33,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33" s="476" t="str">
        <f>IF(Table13[[#This Row],[Column4]]="Fuel Use", _xlfn.IFNA((VLOOKUP(G33&amp;" - "&amp;H33, Mobile_S1_EF[], 'Emission Factors'!$F$234, FALSE)/IF(VLOOKUP(G33&amp;" - "&amp;H33, Mobile_S1_EF[], 9,FALSE) =Table13[[#This Row],[Column10]], 1, VLOOKUP(VLOOKUP(G33&amp;" - "&amp;H33,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33" s="480" t="str">
        <f>IFERROR(IF(Parameters!$D$19="2014 IPCC Fifth Assessment", (Table13[[#This Row],[Column11]]*Data!$AJ$5)+(Table13[[#This Row],[Column12]]*Data!$AJ$6)+(Table13[[#This Row],[Column13]]*Data!$AJ$7), (Table13[[#This Row],[Column11]]*Data!$AI$5)+(Table13[[#This Row],[Column12]]*Data!$AI$6)+(Table13[[#This Row],[Column13]]*Data!$AI$7)), "")</f>
        <v/>
      </c>
      <c r="P33" s="480" t="str">
        <f>IF(Table13[[#This Row],[Column4]]="Fuel Use", _xlfn.IFNA((VLOOKUP(G33&amp;" - "&amp;H33, Mobile_S1_EF[], 'Emission Factors'!$G$234, FALSE)/IF(VLOOKUP(G33&amp;" - "&amp;H33, Mobile_S1_EF[], 9,FALSE) =Table13[[#This Row],[Column10]], 1, VLOOKUP(VLOOKUP(G33&amp;" - "&amp;H33,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33" s="480" t="str">
        <f>IF(Table13[[#This Row],[Column4]]="Fuel Use", _xlfn.IFNA(VLOOKUP(G33&amp;" - "&amp;H33, Mobile_S1_EF[], IF(Parameters!$D$19="2014 IPCC Fifth Assessment", 'Emission Factors'!$I$234, 'Emission Factors'!$H$234), FALSE), ""), IF(Table13[[#This Row],[Column4]]="Distance Activity", _xlfn.IFNA(VLOOKUP(G33&amp;" - "&amp;H33, Mobile_S1_EF[], IF(Parameters!$D$19="2014 IPCC Fifth Assessment", 'Emission Factors'!$I$234, 'Emission Factors'!$H$234), FALSE), ""), IF(Table13[[#This Row],[Column4]]="Custom emission factor", _xlfn.IFNA(VLOOKUP(Table13[[#This Row],[Column5]], Custom_EF[], 9, FALSE), ""), "")))</f>
        <v/>
      </c>
      <c r="R33" s="381" t="str">
        <f>_xlfn.IFNA(IF(Table13[[#This Row],[Column4]]&lt;&gt;"Custom emission factor", VLOOKUP(G33&amp;" - "&amp;H33, Mobile_S1_EF[], 'Emission Factors'!$K$234, FALSE), VLOOKUP(Table13[[#This Row],[Column5]], Custom_EF[], 4, FALSE)), "")</f>
        <v/>
      </c>
    </row>
    <row r="34" spans="3:18" ht="15.75">
      <c r="C34" s="345"/>
      <c r="D34" s="402"/>
      <c r="E34" s="397"/>
      <c r="F34" s="397"/>
      <c r="G34" s="395"/>
      <c r="H34" s="399"/>
      <c r="I34" s="402"/>
      <c r="J34"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34" s="395"/>
      <c r="L34" s="480" t="str">
        <f>IF(Table13[[#This Row],[Column4]]="Fuel Use", _xlfn.IFNA((VLOOKUP(G34&amp;" - "&amp;H34, Mobile_S1_EF[], 'Emission Factors'!$D$234, FALSE)/IF(VLOOKUP(G34&amp;" - "&amp;H34, Mobile_S1_EF[], 9,FALSE) =Table13[[#This Row],[Column10]], 1, VLOOKUP(VLOOKUP(G34&amp;" - "&amp;H34, Mobile_S1_EF[], 9,FALSE)&amp;"_to_"&amp;Table13[[#This Row],[Column10]], Conversions!$B$52:$F$162, Conversions!$E$52, FALSE))*Table13[[#This Row],[Column9]]/1000), ""), IF(Table13[[#This Row],[Column4]]="Distance Activity", _xlfn.IFNA((VLOOKUP(G34&amp;" - "&amp;H34,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34" s="476" t="str">
        <f>IF(Table13[[#This Row],[Column4]]="Fuel Use", _xlfn.IFNA((VLOOKUP(G34&amp;" - "&amp;H34, Mobile_S1_EF[], 'Emission Factors'!$E$234, FALSE)/IF(VLOOKUP(G34&amp;" - "&amp;H34, Mobile_S1_EF[], 9,FALSE) =Table13[[#This Row],[Column10]], 1, VLOOKUP(VLOOKUP(G34&amp;" - "&amp;H34, Mobile_S1_EF[], 9,FALSE)&amp;"_to_"&amp;Table13[[#This Row],[Column10]], Conversions!$B$52:$F$162, Conversions!$E$52, FALSE))*Table13[[#This Row],[Column9]]/1000), ""), IF(Table13[[#This Row],[Column4]]="Distance Activity", _xlfn.IFNA((VLOOKUP(G34&amp;" - "&amp;H34,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34" s="476" t="str">
        <f>IF(Table13[[#This Row],[Column4]]="Fuel Use", _xlfn.IFNA((VLOOKUP(G34&amp;" - "&amp;H34, Mobile_S1_EF[], 'Emission Factors'!$F$234, FALSE)/IF(VLOOKUP(G34&amp;" - "&amp;H34, Mobile_S1_EF[], 9,FALSE) =Table13[[#This Row],[Column10]], 1, VLOOKUP(VLOOKUP(G34&amp;" - "&amp;H34,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34" s="480" t="str">
        <f>IFERROR(IF(Parameters!$D$19="2014 IPCC Fifth Assessment", (Table13[[#This Row],[Column11]]*Data!$AJ$5)+(Table13[[#This Row],[Column12]]*Data!$AJ$6)+(Table13[[#This Row],[Column13]]*Data!$AJ$7), (Table13[[#This Row],[Column11]]*Data!$AI$5)+(Table13[[#This Row],[Column12]]*Data!$AI$6)+(Table13[[#This Row],[Column13]]*Data!$AI$7)), "")</f>
        <v/>
      </c>
      <c r="P34" s="480" t="str">
        <f>IF(Table13[[#This Row],[Column4]]="Fuel Use", _xlfn.IFNA((VLOOKUP(G34&amp;" - "&amp;H34, Mobile_S1_EF[], 'Emission Factors'!$G$234, FALSE)/IF(VLOOKUP(G34&amp;" - "&amp;H34, Mobile_S1_EF[], 9,FALSE) =Table13[[#This Row],[Column10]], 1, VLOOKUP(VLOOKUP(G34&amp;" - "&amp;H34,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34" s="480" t="str">
        <f>IF(Table13[[#This Row],[Column4]]="Fuel Use", _xlfn.IFNA(VLOOKUP(G34&amp;" - "&amp;H34, Mobile_S1_EF[], IF(Parameters!$D$19="2014 IPCC Fifth Assessment", 'Emission Factors'!$I$234, 'Emission Factors'!$H$234), FALSE), ""), IF(Table13[[#This Row],[Column4]]="Distance Activity", _xlfn.IFNA(VLOOKUP(G34&amp;" - "&amp;H34, Mobile_S1_EF[], IF(Parameters!$D$19="2014 IPCC Fifth Assessment", 'Emission Factors'!$I$234, 'Emission Factors'!$H$234), FALSE), ""), IF(Table13[[#This Row],[Column4]]="Custom emission factor", _xlfn.IFNA(VLOOKUP(Table13[[#This Row],[Column5]], Custom_EF[], 9, FALSE), ""), "")))</f>
        <v/>
      </c>
      <c r="R34" s="381" t="str">
        <f>_xlfn.IFNA(IF(Table13[[#This Row],[Column4]]&lt;&gt;"Custom emission factor", VLOOKUP(G34&amp;" - "&amp;H34, Mobile_S1_EF[], 'Emission Factors'!$K$234, FALSE), VLOOKUP(Table13[[#This Row],[Column5]], Custom_EF[], 4, FALSE)), "")</f>
        <v/>
      </c>
    </row>
    <row r="35" spans="3:18" ht="15.75">
      <c r="C35" s="345"/>
      <c r="D35" s="402"/>
      <c r="E35" s="397"/>
      <c r="F35" s="397"/>
      <c r="G35" s="395"/>
      <c r="H35" s="399"/>
      <c r="I35" s="402"/>
      <c r="J35"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35" s="395"/>
      <c r="L35" s="480" t="str">
        <f>IF(Table13[[#This Row],[Column4]]="Fuel Use", _xlfn.IFNA((VLOOKUP(G35&amp;" - "&amp;H35, Mobile_S1_EF[], 'Emission Factors'!$D$234, FALSE)/IF(VLOOKUP(G35&amp;" - "&amp;H35, Mobile_S1_EF[], 9,FALSE) =Table13[[#This Row],[Column10]], 1, VLOOKUP(VLOOKUP(G35&amp;" - "&amp;H35, Mobile_S1_EF[], 9,FALSE)&amp;"_to_"&amp;Table13[[#This Row],[Column10]], Conversions!$B$52:$F$162, Conversions!$E$52, FALSE))*Table13[[#This Row],[Column9]]/1000), ""), IF(Table13[[#This Row],[Column4]]="Distance Activity", _xlfn.IFNA((VLOOKUP(G35&amp;" - "&amp;H35,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35" s="476" t="str">
        <f>IF(Table13[[#This Row],[Column4]]="Fuel Use", _xlfn.IFNA((VLOOKUP(G35&amp;" - "&amp;H35, Mobile_S1_EF[], 'Emission Factors'!$E$234, FALSE)/IF(VLOOKUP(G35&amp;" - "&amp;H35, Mobile_S1_EF[], 9,FALSE) =Table13[[#This Row],[Column10]], 1, VLOOKUP(VLOOKUP(G35&amp;" - "&amp;H35, Mobile_S1_EF[], 9,FALSE)&amp;"_to_"&amp;Table13[[#This Row],[Column10]], Conversions!$B$52:$F$162, Conversions!$E$52, FALSE))*Table13[[#This Row],[Column9]]/1000), ""), IF(Table13[[#This Row],[Column4]]="Distance Activity", _xlfn.IFNA((VLOOKUP(G35&amp;" - "&amp;H35,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35" s="476" t="str">
        <f>IF(Table13[[#This Row],[Column4]]="Fuel Use", _xlfn.IFNA((VLOOKUP(G35&amp;" - "&amp;H35, Mobile_S1_EF[], 'Emission Factors'!$F$234, FALSE)/IF(VLOOKUP(G35&amp;" - "&amp;H35, Mobile_S1_EF[], 9,FALSE) =Table13[[#This Row],[Column10]], 1, VLOOKUP(VLOOKUP(G35&amp;" - "&amp;H35,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35" s="480" t="str">
        <f>IFERROR(IF(Parameters!$D$19="2014 IPCC Fifth Assessment", (Table13[[#This Row],[Column11]]*Data!$AJ$5)+(Table13[[#This Row],[Column12]]*Data!$AJ$6)+(Table13[[#This Row],[Column13]]*Data!$AJ$7), (Table13[[#This Row],[Column11]]*Data!$AI$5)+(Table13[[#This Row],[Column12]]*Data!$AI$6)+(Table13[[#This Row],[Column13]]*Data!$AI$7)), "")</f>
        <v/>
      </c>
      <c r="P35" s="480" t="str">
        <f>IF(Table13[[#This Row],[Column4]]="Fuel Use", _xlfn.IFNA((VLOOKUP(G35&amp;" - "&amp;H35, Mobile_S1_EF[], 'Emission Factors'!$G$234, FALSE)/IF(VLOOKUP(G35&amp;" - "&amp;H35, Mobile_S1_EF[], 9,FALSE) =Table13[[#This Row],[Column10]], 1, VLOOKUP(VLOOKUP(G35&amp;" - "&amp;H35,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35" s="480" t="str">
        <f>IF(Table13[[#This Row],[Column4]]="Fuel Use", _xlfn.IFNA(VLOOKUP(G35&amp;" - "&amp;H35, Mobile_S1_EF[], IF(Parameters!$D$19="2014 IPCC Fifth Assessment", 'Emission Factors'!$I$234, 'Emission Factors'!$H$234), FALSE), ""), IF(Table13[[#This Row],[Column4]]="Distance Activity", _xlfn.IFNA(VLOOKUP(G35&amp;" - "&amp;H35, Mobile_S1_EF[], IF(Parameters!$D$19="2014 IPCC Fifth Assessment", 'Emission Factors'!$I$234, 'Emission Factors'!$H$234), FALSE), ""), IF(Table13[[#This Row],[Column4]]="Custom emission factor", _xlfn.IFNA(VLOOKUP(Table13[[#This Row],[Column5]], Custom_EF[], 9, FALSE), ""), "")))</f>
        <v/>
      </c>
      <c r="R35" s="381" t="str">
        <f>_xlfn.IFNA(IF(Table13[[#This Row],[Column4]]&lt;&gt;"Custom emission factor", VLOOKUP(G35&amp;" - "&amp;H35, Mobile_S1_EF[], 'Emission Factors'!$K$234, FALSE), VLOOKUP(Table13[[#This Row],[Column5]], Custom_EF[], 4, FALSE)), "")</f>
        <v/>
      </c>
    </row>
    <row r="36" spans="3:18" ht="15.75">
      <c r="C36" s="345"/>
      <c r="D36" s="402"/>
      <c r="E36" s="397"/>
      <c r="F36" s="397"/>
      <c r="G36" s="395"/>
      <c r="H36" s="399"/>
      <c r="I36" s="402"/>
      <c r="J36"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36" s="395"/>
      <c r="L36" s="480" t="str">
        <f>IF(Table13[[#This Row],[Column4]]="Fuel Use", _xlfn.IFNA((VLOOKUP(G36&amp;" - "&amp;H36, Mobile_S1_EF[], 'Emission Factors'!$D$234, FALSE)/IF(VLOOKUP(G36&amp;" - "&amp;H36, Mobile_S1_EF[], 9,FALSE) =Table13[[#This Row],[Column10]], 1, VLOOKUP(VLOOKUP(G36&amp;" - "&amp;H36, Mobile_S1_EF[], 9,FALSE)&amp;"_to_"&amp;Table13[[#This Row],[Column10]], Conversions!$B$52:$F$162, Conversions!$E$52, FALSE))*Table13[[#This Row],[Column9]]/1000), ""), IF(Table13[[#This Row],[Column4]]="Distance Activity", _xlfn.IFNA((VLOOKUP(G36&amp;" - "&amp;H36,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36" s="476" t="str">
        <f>IF(Table13[[#This Row],[Column4]]="Fuel Use", _xlfn.IFNA((VLOOKUP(G36&amp;" - "&amp;H36, Mobile_S1_EF[], 'Emission Factors'!$E$234, FALSE)/IF(VLOOKUP(G36&amp;" - "&amp;H36, Mobile_S1_EF[], 9,FALSE) =Table13[[#This Row],[Column10]], 1, VLOOKUP(VLOOKUP(G36&amp;" - "&amp;H36, Mobile_S1_EF[], 9,FALSE)&amp;"_to_"&amp;Table13[[#This Row],[Column10]], Conversions!$B$52:$F$162, Conversions!$E$52, FALSE))*Table13[[#This Row],[Column9]]/1000), ""), IF(Table13[[#This Row],[Column4]]="Distance Activity", _xlfn.IFNA((VLOOKUP(G36&amp;" - "&amp;H36,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36" s="476" t="str">
        <f>IF(Table13[[#This Row],[Column4]]="Fuel Use", _xlfn.IFNA((VLOOKUP(G36&amp;" - "&amp;H36, Mobile_S1_EF[], 'Emission Factors'!$F$234, FALSE)/IF(VLOOKUP(G36&amp;" - "&amp;H36, Mobile_S1_EF[], 9,FALSE) =Table13[[#This Row],[Column10]], 1, VLOOKUP(VLOOKUP(G36&amp;" - "&amp;H36,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36" s="480" t="str">
        <f>IFERROR(IF(Parameters!$D$19="2014 IPCC Fifth Assessment", (Table13[[#This Row],[Column11]]*Data!$AJ$5)+(Table13[[#This Row],[Column12]]*Data!$AJ$6)+(Table13[[#This Row],[Column13]]*Data!$AJ$7), (Table13[[#This Row],[Column11]]*Data!$AI$5)+(Table13[[#This Row],[Column12]]*Data!$AI$6)+(Table13[[#This Row],[Column13]]*Data!$AI$7)), "")</f>
        <v/>
      </c>
      <c r="P36" s="480" t="str">
        <f>IF(Table13[[#This Row],[Column4]]="Fuel Use", _xlfn.IFNA((VLOOKUP(G36&amp;" - "&amp;H36, Mobile_S1_EF[], 'Emission Factors'!$G$234, FALSE)/IF(VLOOKUP(G36&amp;" - "&amp;H36, Mobile_S1_EF[], 9,FALSE) =Table13[[#This Row],[Column10]], 1, VLOOKUP(VLOOKUP(G36&amp;" - "&amp;H36,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36" s="480" t="str">
        <f>IF(Table13[[#This Row],[Column4]]="Fuel Use", _xlfn.IFNA(VLOOKUP(G36&amp;" - "&amp;H36, Mobile_S1_EF[], IF(Parameters!$D$19="2014 IPCC Fifth Assessment", 'Emission Factors'!$I$234, 'Emission Factors'!$H$234), FALSE), ""), IF(Table13[[#This Row],[Column4]]="Distance Activity", _xlfn.IFNA(VLOOKUP(G36&amp;" - "&amp;H36, Mobile_S1_EF[], IF(Parameters!$D$19="2014 IPCC Fifth Assessment", 'Emission Factors'!$I$234, 'Emission Factors'!$H$234), FALSE), ""), IF(Table13[[#This Row],[Column4]]="Custom emission factor", _xlfn.IFNA(VLOOKUP(Table13[[#This Row],[Column5]], Custom_EF[], 9, FALSE), ""), "")))</f>
        <v/>
      </c>
      <c r="R36" s="381" t="str">
        <f>_xlfn.IFNA(IF(Table13[[#This Row],[Column4]]&lt;&gt;"Custom emission factor", VLOOKUP(G36&amp;" - "&amp;H36, Mobile_S1_EF[], 'Emission Factors'!$K$234, FALSE), VLOOKUP(Table13[[#This Row],[Column5]], Custom_EF[], 4, FALSE)), "")</f>
        <v/>
      </c>
    </row>
    <row r="37" spans="3:18" ht="15.75">
      <c r="C37" s="345"/>
      <c r="D37" s="402"/>
      <c r="E37" s="397"/>
      <c r="F37" s="397"/>
      <c r="G37" s="395"/>
      <c r="H37" s="399"/>
      <c r="I37" s="402"/>
      <c r="J37"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37" s="395"/>
      <c r="L37" s="480" t="str">
        <f>IF(Table13[[#This Row],[Column4]]="Fuel Use", _xlfn.IFNA((VLOOKUP(G37&amp;" - "&amp;H37, Mobile_S1_EF[], 'Emission Factors'!$D$234, FALSE)/IF(VLOOKUP(G37&amp;" - "&amp;H37, Mobile_S1_EF[], 9,FALSE) =Table13[[#This Row],[Column10]], 1, VLOOKUP(VLOOKUP(G37&amp;" - "&amp;H37, Mobile_S1_EF[], 9,FALSE)&amp;"_to_"&amp;Table13[[#This Row],[Column10]], Conversions!$B$52:$F$162, Conversions!$E$52, FALSE))*Table13[[#This Row],[Column9]]/1000), ""), IF(Table13[[#This Row],[Column4]]="Distance Activity", _xlfn.IFNA((VLOOKUP(G37&amp;" - "&amp;H37,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37" s="476" t="str">
        <f>IF(Table13[[#This Row],[Column4]]="Fuel Use", _xlfn.IFNA((VLOOKUP(G37&amp;" - "&amp;H37, Mobile_S1_EF[], 'Emission Factors'!$E$234, FALSE)/IF(VLOOKUP(G37&amp;" - "&amp;H37, Mobile_S1_EF[], 9,FALSE) =Table13[[#This Row],[Column10]], 1, VLOOKUP(VLOOKUP(G37&amp;" - "&amp;H37, Mobile_S1_EF[], 9,FALSE)&amp;"_to_"&amp;Table13[[#This Row],[Column10]], Conversions!$B$52:$F$162, Conversions!$E$52, FALSE))*Table13[[#This Row],[Column9]]/1000), ""), IF(Table13[[#This Row],[Column4]]="Distance Activity", _xlfn.IFNA((VLOOKUP(G37&amp;" - "&amp;H37,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37" s="476" t="str">
        <f>IF(Table13[[#This Row],[Column4]]="Fuel Use", _xlfn.IFNA((VLOOKUP(G37&amp;" - "&amp;H37, Mobile_S1_EF[], 'Emission Factors'!$F$234, FALSE)/IF(VLOOKUP(G37&amp;" - "&amp;H37, Mobile_S1_EF[], 9,FALSE) =Table13[[#This Row],[Column10]], 1, VLOOKUP(VLOOKUP(G37&amp;" - "&amp;H37,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37" s="480" t="str">
        <f>IFERROR(IF(Parameters!$D$19="2014 IPCC Fifth Assessment", (Table13[[#This Row],[Column11]]*Data!$AJ$5)+(Table13[[#This Row],[Column12]]*Data!$AJ$6)+(Table13[[#This Row],[Column13]]*Data!$AJ$7), (Table13[[#This Row],[Column11]]*Data!$AI$5)+(Table13[[#This Row],[Column12]]*Data!$AI$6)+(Table13[[#This Row],[Column13]]*Data!$AI$7)), "")</f>
        <v/>
      </c>
      <c r="P37" s="480" t="str">
        <f>IF(Table13[[#This Row],[Column4]]="Fuel Use", _xlfn.IFNA((VLOOKUP(G37&amp;" - "&amp;H37, Mobile_S1_EF[], 'Emission Factors'!$G$234, FALSE)/IF(VLOOKUP(G37&amp;" - "&amp;H37, Mobile_S1_EF[], 9,FALSE) =Table13[[#This Row],[Column10]], 1, VLOOKUP(VLOOKUP(G37&amp;" - "&amp;H37,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37" s="480" t="str">
        <f>IF(Table13[[#This Row],[Column4]]="Fuel Use", _xlfn.IFNA(VLOOKUP(G37&amp;" - "&amp;H37, Mobile_S1_EF[], IF(Parameters!$D$19="2014 IPCC Fifth Assessment", 'Emission Factors'!$I$234, 'Emission Factors'!$H$234), FALSE), ""), IF(Table13[[#This Row],[Column4]]="Distance Activity", _xlfn.IFNA(VLOOKUP(G37&amp;" - "&amp;H37, Mobile_S1_EF[], IF(Parameters!$D$19="2014 IPCC Fifth Assessment", 'Emission Factors'!$I$234, 'Emission Factors'!$H$234), FALSE), ""), IF(Table13[[#This Row],[Column4]]="Custom emission factor", _xlfn.IFNA(VLOOKUP(Table13[[#This Row],[Column5]], Custom_EF[], 9, FALSE), ""), "")))</f>
        <v/>
      </c>
      <c r="R37" s="381" t="str">
        <f>_xlfn.IFNA(IF(Table13[[#This Row],[Column4]]&lt;&gt;"Custom emission factor", VLOOKUP(G37&amp;" - "&amp;H37, Mobile_S1_EF[], 'Emission Factors'!$K$234, FALSE), VLOOKUP(Table13[[#This Row],[Column5]], Custom_EF[], 4, FALSE)), "")</f>
        <v/>
      </c>
    </row>
    <row r="38" spans="3:18" ht="15.75">
      <c r="C38" s="345"/>
      <c r="D38" s="402"/>
      <c r="E38" s="397"/>
      <c r="F38" s="397"/>
      <c r="G38" s="395"/>
      <c r="H38" s="399"/>
      <c r="I38" s="402"/>
      <c r="J38"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38" s="395"/>
      <c r="L38" s="480" t="str">
        <f>IF(Table13[[#This Row],[Column4]]="Fuel Use", _xlfn.IFNA((VLOOKUP(G38&amp;" - "&amp;H38, Mobile_S1_EF[], 'Emission Factors'!$D$234, FALSE)/IF(VLOOKUP(G38&amp;" - "&amp;H38, Mobile_S1_EF[], 9,FALSE) =Table13[[#This Row],[Column10]], 1, VLOOKUP(VLOOKUP(G38&amp;" - "&amp;H38, Mobile_S1_EF[], 9,FALSE)&amp;"_to_"&amp;Table13[[#This Row],[Column10]], Conversions!$B$52:$F$162, Conversions!$E$52, FALSE))*Table13[[#This Row],[Column9]]/1000), ""), IF(Table13[[#This Row],[Column4]]="Distance Activity", _xlfn.IFNA((VLOOKUP(G38&amp;" - "&amp;H38,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38" s="476" t="str">
        <f>IF(Table13[[#This Row],[Column4]]="Fuel Use", _xlfn.IFNA((VLOOKUP(G38&amp;" - "&amp;H38, Mobile_S1_EF[], 'Emission Factors'!$E$234, FALSE)/IF(VLOOKUP(G38&amp;" - "&amp;H38, Mobile_S1_EF[], 9,FALSE) =Table13[[#This Row],[Column10]], 1, VLOOKUP(VLOOKUP(G38&amp;" - "&amp;H38, Mobile_S1_EF[], 9,FALSE)&amp;"_to_"&amp;Table13[[#This Row],[Column10]], Conversions!$B$52:$F$162, Conversions!$E$52, FALSE))*Table13[[#This Row],[Column9]]/1000), ""), IF(Table13[[#This Row],[Column4]]="Distance Activity", _xlfn.IFNA((VLOOKUP(G38&amp;" - "&amp;H38,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38" s="476" t="str">
        <f>IF(Table13[[#This Row],[Column4]]="Fuel Use", _xlfn.IFNA((VLOOKUP(G38&amp;" - "&amp;H38, Mobile_S1_EF[], 'Emission Factors'!$F$234, FALSE)/IF(VLOOKUP(G38&amp;" - "&amp;H38, Mobile_S1_EF[], 9,FALSE) =Table13[[#This Row],[Column10]], 1, VLOOKUP(VLOOKUP(G38&amp;" - "&amp;H38,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38" s="480" t="str">
        <f>IFERROR(IF(Parameters!$D$19="2014 IPCC Fifth Assessment", (Table13[[#This Row],[Column11]]*Data!$AJ$5)+(Table13[[#This Row],[Column12]]*Data!$AJ$6)+(Table13[[#This Row],[Column13]]*Data!$AJ$7), (Table13[[#This Row],[Column11]]*Data!$AI$5)+(Table13[[#This Row],[Column12]]*Data!$AI$6)+(Table13[[#This Row],[Column13]]*Data!$AI$7)), "")</f>
        <v/>
      </c>
      <c r="P38" s="480" t="str">
        <f>IF(Table13[[#This Row],[Column4]]="Fuel Use", _xlfn.IFNA((VLOOKUP(G38&amp;" - "&amp;H38, Mobile_S1_EF[], 'Emission Factors'!$G$234, FALSE)/IF(VLOOKUP(G38&amp;" - "&amp;H38, Mobile_S1_EF[], 9,FALSE) =Table13[[#This Row],[Column10]], 1, VLOOKUP(VLOOKUP(G38&amp;" - "&amp;H38,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38" s="480" t="str">
        <f>IF(Table13[[#This Row],[Column4]]="Fuel Use", _xlfn.IFNA(VLOOKUP(G38&amp;" - "&amp;H38, Mobile_S1_EF[], IF(Parameters!$D$19="2014 IPCC Fifth Assessment", 'Emission Factors'!$I$234, 'Emission Factors'!$H$234), FALSE), ""), IF(Table13[[#This Row],[Column4]]="Distance Activity", _xlfn.IFNA(VLOOKUP(G38&amp;" - "&amp;H38, Mobile_S1_EF[], IF(Parameters!$D$19="2014 IPCC Fifth Assessment", 'Emission Factors'!$I$234, 'Emission Factors'!$H$234), FALSE), ""), IF(Table13[[#This Row],[Column4]]="Custom emission factor", _xlfn.IFNA(VLOOKUP(Table13[[#This Row],[Column5]], Custom_EF[], 9, FALSE), ""), "")))</f>
        <v/>
      </c>
      <c r="R38" s="381" t="str">
        <f>_xlfn.IFNA(IF(Table13[[#This Row],[Column4]]&lt;&gt;"Custom emission factor", VLOOKUP(G38&amp;" - "&amp;H38, Mobile_S1_EF[], 'Emission Factors'!$K$234, FALSE), VLOOKUP(Table13[[#This Row],[Column5]], Custom_EF[], 4, FALSE)), "")</f>
        <v/>
      </c>
    </row>
    <row r="39" spans="3:18" ht="15.75">
      <c r="C39" s="345"/>
      <c r="D39" s="402"/>
      <c r="E39" s="397"/>
      <c r="F39" s="397"/>
      <c r="G39" s="395"/>
      <c r="H39" s="399"/>
      <c r="I39" s="402"/>
      <c r="J39"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39" s="395"/>
      <c r="L39" s="480" t="str">
        <f>IF(Table13[[#This Row],[Column4]]="Fuel Use", _xlfn.IFNA((VLOOKUP(G39&amp;" - "&amp;H39, Mobile_S1_EF[], 'Emission Factors'!$D$234, FALSE)/IF(VLOOKUP(G39&amp;" - "&amp;H39, Mobile_S1_EF[], 9,FALSE) =Table13[[#This Row],[Column10]], 1, VLOOKUP(VLOOKUP(G39&amp;" - "&amp;H39, Mobile_S1_EF[], 9,FALSE)&amp;"_to_"&amp;Table13[[#This Row],[Column10]], Conversions!$B$52:$F$162, Conversions!$E$52, FALSE))*Table13[[#This Row],[Column9]]/1000), ""), IF(Table13[[#This Row],[Column4]]="Distance Activity", _xlfn.IFNA((VLOOKUP(G39&amp;" - "&amp;H39,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39" s="476" t="str">
        <f>IF(Table13[[#This Row],[Column4]]="Fuel Use", _xlfn.IFNA((VLOOKUP(G39&amp;" - "&amp;H39, Mobile_S1_EF[], 'Emission Factors'!$E$234, FALSE)/IF(VLOOKUP(G39&amp;" - "&amp;H39, Mobile_S1_EF[], 9,FALSE) =Table13[[#This Row],[Column10]], 1, VLOOKUP(VLOOKUP(G39&amp;" - "&amp;H39, Mobile_S1_EF[], 9,FALSE)&amp;"_to_"&amp;Table13[[#This Row],[Column10]], Conversions!$B$52:$F$162, Conversions!$E$52, FALSE))*Table13[[#This Row],[Column9]]/1000), ""), IF(Table13[[#This Row],[Column4]]="Distance Activity", _xlfn.IFNA((VLOOKUP(G39&amp;" - "&amp;H39,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39" s="476" t="str">
        <f>IF(Table13[[#This Row],[Column4]]="Fuel Use", _xlfn.IFNA((VLOOKUP(G39&amp;" - "&amp;H39, Mobile_S1_EF[], 'Emission Factors'!$F$234, FALSE)/IF(VLOOKUP(G39&amp;" - "&amp;H39, Mobile_S1_EF[], 9,FALSE) =Table13[[#This Row],[Column10]], 1, VLOOKUP(VLOOKUP(G39&amp;" - "&amp;H39,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39" s="480" t="str">
        <f>IFERROR(IF(Parameters!$D$19="2014 IPCC Fifth Assessment", (Table13[[#This Row],[Column11]]*Data!$AJ$5)+(Table13[[#This Row],[Column12]]*Data!$AJ$6)+(Table13[[#This Row],[Column13]]*Data!$AJ$7), (Table13[[#This Row],[Column11]]*Data!$AI$5)+(Table13[[#This Row],[Column12]]*Data!$AI$6)+(Table13[[#This Row],[Column13]]*Data!$AI$7)), "")</f>
        <v/>
      </c>
      <c r="P39" s="480" t="str">
        <f>IF(Table13[[#This Row],[Column4]]="Fuel Use", _xlfn.IFNA((VLOOKUP(G39&amp;" - "&amp;H39, Mobile_S1_EF[], 'Emission Factors'!$G$234, FALSE)/IF(VLOOKUP(G39&amp;" - "&amp;H39, Mobile_S1_EF[], 9,FALSE) =Table13[[#This Row],[Column10]], 1, VLOOKUP(VLOOKUP(G39&amp;" - "&amp;H39,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39" s="480" t="str">
        <f>IF(Table13[[#This Row],[Column4]]="Fuel Use", _xlfn.IFNA(VLOOKUP(G39&amp;" - "&amp;H39, Mobile_S1_EF[], IF(Parameters!$D$19="2014 IPCC Fifth Assessment", 'Emission Factors'!$I$234, 'Emission Factors'!$H$234), FALSE), ""), IF(Table13[[#This Row],[Column4]]="Distance Activity", _xlfn.IFNA(VLOOKUP(G39&amp;" - "&amp;H39, Mobile_S1_EF[], IF(Parameters!$D$19="2014 IPCC Fifth Assessment", 'Emission Factors'!$I$234, 'Emission Factors'!$H$234), FALSE), ""), IF(Table13[[#This Row],[Column4]]="Custom emission factor", _xlfn.IFNA(VLOOKUP(Table13[[#This Row],[Column5]], Custom_EF[], 9, FALSE), ""), "")))</f>
        <v/>
      </c>
      <c r="R39" s="381" t="str">
        <f>_xlfn.IFNA(IF(Table13[[#This Row],[Column4]]&lt;&gt;"Custom emission factor", VLOOKUP(G39&amp;" - "&amp;H39, Mobile_S1_EF[], 'Emission Factors'!$K$234, FALSE), VLOOKUP(Table13[[#This Row],[Column5]], Custom_EF[], 4, FALSE)), "")</f>
        <v/>
      </c>
    </row>
    <row r="40" spans="3:18" ht="15.75">
      <c r="C40" s="345"/>
      <c r="D40" s="402"/>
      <c r="E40" s="397"/>
      <c r="F40" s="397"/>
      <c r="G40" s="395"/>
      <c r="H40" s="399"/>
      <c r="I40" s="402"/>
      <c r="J40"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40" s="395"/>
      <c r="L40" s="480" t="str">
        <f>IF(Table13[[#This Row],[Column4]]="Fuel Use", _xlfn.IFNA((VLOOKUP(G40&amp;" - "&amp;H40, Mobile_S1_EF[], 'Emission Factors'!$D$234, FALSE)/IF(VLOOKUP(G40&amp;" - "&amp;H40, Mobile_S1_EF[], 9,FALSE) =Table13[[#This Row],[Column10]], 1, VLOOKUP(VLOOKUP(G40&amp;" - "&amp;H40, Mobile_S1_EF[], 9,FALSE)&amp;"_to_"&amp;Table13[[#This Row],[Column10]], Conversions!$B$52:$F$162, Conversions!$E$52, FALSE))*Table13[[#This Row],[Column9]]/1000), ""), IF(Table13[[#This Row],[Column4]]="Distance Activity", _xlfn.IFNA((VLOOKUP(G40&amp;" - "&amp;H40,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40" s="476" t="str">
        <f>IF(Table13[[#This Row],[Column4]]="Fuel Use", _xlfn.IFNA((VLOOKUP(G40&amp;" - "&amp;H40, Mobile_S1_EF[], 'Emission Factors'!$E$234, FALSE)/IF(VLOOKUP(G40&amp;" - "&amp;H40, Mobile_S1_EF[], 9,FALSE) =Table13[[#This Row],[Column10]], 1, VLOOKUP(VLOOKUP(G40&amp;" - "&amp;H40, Mobile_S1_EF[], 9,FALSE)&amp;"_to_"&amp;Table13[[#This Row],[Column10]], Conversions!$B$52:$F$162, Conversions!$E$52, FALSE))*Table13[[#This Row],[Column9]]/1000), ""), IF(Table13[[#This Row],[Column4]]="Distance Activity", _xlfn.IFNA((VLOOKUP(G40&amp;" - "&amp;H40,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40" s="476" t="str">
        <f>IF(Table13[[#This Row],[Column4]]="Fuel Use", _xlfn.IFNA((VLOOKUP(G40&amp;" - "&amp;H40, Mobile_S1_EF[], 'Emission Factors'!$F$234, FALSE)/IF(VLOOKUP(G40&amp;" - "&amp;H40, Mobile_S1_EF[], 9,FALSE) =Table13[[#This Row],[Column10]], 1, VLOOKUP(VLOOKUP(G40&amp;" - "&amp;H40,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40" s="480" t="str">
        <f>IFERROR(IF(Parameters!$D$19="2014 IPCC Fifth Assessment", (Table13[[#This Row],[Column11]]*Data!$AJ$5)+(Table13[[#This Row],[Column12]]*Data!$AJ$6)+(Table13[[#This Row],[Column13]]*Data!$AJ$7), (Table13[[#This Row],[Column11]]*Data!$AI$5)+(Table13[[#This Row],[Column12]]*Data!$AI$6)+(Table13[[#This Row],[Column13]]*Data!$AI$7)), "")</f>
        <v/>
      </c>
      <c r="P40" s="480" t="str">
        <f>IF(Table13[[#This Row],[Column4]]="Fuel Use", _xlfn.IFNA((VLOOKUP(G40&amp;" - "&amp;H40, Mobile_S1_EF[], 'Emission Factors'!$G$234, FALSE)/IF(VLOOKUP(G40&amp;" - "&amp;H40, Mobile_S1_EF[], 9,FALSE) =Table13[[#This Row],[Column10]], 1, VLOOKUP(VLOOKUP(G40&amp;" - "&amp;H40,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40" s="480" t="str">
        <f>IF(Table13[[#This Row],[Column4]]="Fuel Use", _xlfn.IFNA(VLOOKUP(G40&amp;" - "&amp;H40, Mobile_S1_EF[], IF(Parameters!$D$19="2014 IPCC Fifth Assessment", 'Emission Factors'!$I$234, 'Emission Factors'!$H$234), FALSE), ""), IF(Table13[[#This Row],[Column4]]="Distance Activity", _xlfn.IFNA(VLOOKUP(G40&amp;" - "&amp;H40, Mobile_S1_EF[], IF(Parameters!$D$19="2014 IPCC Fifth Assessment", 'Emission Factors'!$I$234, 'Emission Factors'!$H$234), FALSE), ""), IF(Table13[[#This Row],[Column4]]="Custom emission factor", _xlfn.IFNA(VLOOKUP(Table13[[#This Row],[Column5]], Custom_EF[], 9, FALSE), ""), "")))</f>
        <v/>
      </c>
      <c r="R40" s="381" t="str">
        <f>_xlfn.IFNA(IF(Table13[[#This Row],[Column4]]&lt;&gt;"Custom emission factor", VLOOKUP(G40&amp;" - "&amp;H40, Mobile_S1_EF[], 'Emission Factors'!$K$234, FALSE), VLOOKUP(Table13[[#This Row],[Column5]], Custom_EF[], 4, FALSE)), "")</f>
        <v/>
      </c>
    </row>
    <row r="41" spans="3:18" ht="15.75">
      <c r="C41" s="345"/>
      <c r="D41" s="402"/>
      <c r="E41" s="397"/>
      <c r="F41" s="397"/>
      <c r="G41" s="395"/>
      <c r="H41" s="397"/>
      <c r="I41" s="402"/>
      <c r="J41"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41" s="395"/>
      <c r="L41" s="480" t="str">
        <f>IF(Table13[[#This Row],[Column4]]="Fuel Use", _xlfn.IFNA((VLOOKUP(G41&amp;" - "&amp;H41, Mobile_S1_EF[], 'Emission Factors'!$D$234, FALSE)/IF(VLOOKUP(G41&amp;" - "&amp;H41, Mobile_S1_EF[], 9,FALSE) =Table13[[#This Row],[Column10]], 1, VLOOKUP(VLOOKUP(G41&amp;" - "&amp;H41, Mobile_S1_EF[], 9,FALSE)&amp;"_to_"&amp;Table13[[#This Row],[Column10]], Conversions!$B$52:$F$162, Conversions!$E$52, FALSE))*Table13[[#This Row],[Column9]]/1000), ""), IF(Table13[[#This Row],[Column4]]="Distance Activity", _xlfn.IFNA((VLOOKUP(G41&amp;" - "&amp;H41,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41" s="476" t="str">
        <f>IF(Table13[[#This Row],[Column4]]="Fuel Use", _xlfn.IFNA((VLOOKUP(G41&amp;" - "&amp;H41, Mobile_S1_EF[], 'Emission Factors'!$E$234, FALSE)/IF(VLOOKUP(G41&amp;" - "&amp;H41, Mobile_S1_EF[], 9,FALSE) =Table13[[#This Row],[Column10]], 1, VLOOKUP(VLOOKUP(G41&amp;" - "&amp;H41, Mobile_S1_EF[], 9,FALSE)&amp;"_to_"&amp;Table13[[#This Row],[Column10]], Conversions!$B$52:$F$162, Conversions!$E$52, FALSE))*Table13[[#This Row],[Column9]]/1000), ""), IF(Table13[[#This Row],[Column4]]="Distance Activity", _xlfn.IFNA((VLOOKUP(G41&amp;" - "&amp;H41,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41" s="476" t="str">
        <f>IF(Table13[[#This Row],[Column4]]="Fuel Use", _xlfn.IFNA((VLOOKUP(G41&amp;" - "&amp;H41, Mobile_S1_EF[], 'Emission Factors'!$F$234, FALSE)/IF(VLOOKUP(G41&amp;" - "&amp;H41, Mobile_S1_EF[], 9,FALSE) =Table13[[#This Row],[Column10]], 1, VLOOKUP(VLOOKUP(G41&amp;" - "&amp;H41,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41" s="480" t="str">
        <f>IFERROR(IF(Parameters!$D$19="2014 IPCC Fifth Assessment", (Table13[[#This Row],[Column11]]*Data!$AJ$5)+(Table13[[#This Row],[Column12]]*Data!$AJ$6)+(Table13[[#This Row],[Column13]]*Data!$AJ$7), (Table13[[#This Row],[Column11]]*Data!$AI$5)+(Table13[[#This Row],[Column12]]*Data!$AI$6)+(Table13[[#This Row],[Column13]]*Data!$AI$7)), "")</f>
        <v/>
      </c>
      <c r="P41" s="480" t="str">
        <f>IF(Table13[[#This Row],[Column4]]="Fuel Use", _xlfn.IFNA((VLOOKUP(G41&amp;" - "&amp;H41, Mobile_S1_EF[], 'Emission Factors'!$G$234, FALSE)/IF(VLOOKUP(G41&amp;" - "&amp;H41, Mobile_S1_EF[], 9,FALSE) =Table13[[#This Row],[Column10]], 1, VLOOKUP(VLOOKUP(G41&amp;" - "&amp;H41,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41" s="480" t="str">
        <f>IF(Table13[[#This Row],[Column4]]="Fuel Use", _xlfn.IFNA(VLOOKUP(G41&amp;" - "&amp;H41, Mobile_S1_EF[], IF(Parameters!$D$19="2014 IPCC Fifth Assessment", 'Emission Factors'!$I$234, 'Emission Factors'!$H$234), FALSE), ""), IF(Table13[[#This Row],[Column4]]="Distance Activity", _xlfn.IFNA(VLOOKUP(G41&amp;" - "&amp;H41, Mobile_S1_EF[], IF(Parameters!$D$19="2014 IPCC Fifth Assessment", 'Emission Factors'!$I$234, 'Emission Factors'!$H$234), FALSE), ""), IF(Table13[[#This Row],[Column4]]="Custom emission factor", _xlfn.IFNA(VLOOKUP(Table13[[#This Row],[Column5]], Custom_EF[], 9, FALSE), ""), "")))</f>
        <v/>
      </c>
      <c r="R41" s="381" t="str">
        <f>_xlfn.IFNA(IF(Table13[[#This Row],[Column4]]&lt;&gt;"Custom emission factor", VLOOKUP(G41&amp;" - "&amp;H41, Mobile_S1_EF[], 'Emission Factors'!$K$234, FALSE), VLOOKUP(Table13[[#This Row],[Column5]], Custom_EF[], 4, FALSE)), "")</f>
        <v/>
      </c>
    </row>
    <row r="42" spans="3:18" ht="15.75">
      <c r="C42" s="345"/>
      <c r="D42" s="402"/>
      <c r="E42" s="397"/>
      <c r="F42" s="397"/>
      <c r="G42" s="395"/>
      <c r="H42" s="397"/>
      <c r="I42" s="402"/>
      <c r="J42"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42" s="395"/>
      <c r="L42" s="480" t="str">
        <f>IF(Table13[[#This Row],[Column4]]="Fuel Use", _xlfn.IFNA((VLOOKUP(G42&amp;" - "&amp;H42, Mobile_S1_EF[], 'Emission Factors'!$D$234, FALSE)/IF(VLOOKUP(G42&amp;" - "&amp;H42, Mobile_S1_EF[], 9,FALSE) =Table13[[#This Row],[Column10]], 1, VLOOKUP(VLOOKUP(G42&amp;" - "&amp;H42, Mobile_S1_EF[], 9,FALSE)&amp;"_to_"&amp;Table13[[#This Row],[Column10]], Conversions!$B$52:$F$162, Conversions!$E$52, FALSE))*Table13[[#This Row],[Column9]]/1000), ""), IF(Table13[[#This Row],[Column4]]="Distance Activity", _xlfn.IFNA((VLOOKUP(G42&amp;" - "&amp;H42,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42" s="476" t="str">
        <f>IF(Table13[[#This Row],[Column4]]="Fuel Use", _xlfn.IFNA((VLOOKUP(G42&amp;" - "&amp;H42, Mobile_S1_EF[], 'Emission Factors'!$E$234, FALSE)/IF(VLOOKUP(G42&amp;" - "&amp;H42, Mobile_S1_EF[], 9,FALSE) =Table13[[#This Row],[Column10]], 1, VLOOKUP(VLOOKUP(G42&amp;" - "&amp;H42, Mobile_S1_EF[], 9,FALSE)&amp;"_to_"&amp;Table13[[#This Row],[Column10]], Conversions!$B$52:$F$162, Conversions!$E$52, FALSE))*Table13[[#This Row],[Column9]]/1000), ""), IF(Table13[[#This Row],[Column4]]="Distance Activity", _xlfn.IFNA((VLOOKUP(G42&amp;" - "&amp;H42,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42" s="476" t="str">
        <f>IF(Table13[[#This Row],[Column4]]="Fuel Use", _xlfn.IFNA((VLOOKUP(G42&amp;" - "&amp;H42, Mobile_S1_EF[], 'Emission Factors'!$F$234, FALSE)/IF(VLOOKUP(G42&amp;" - "&amp;H42, Mobile_S1_EF[], 9,FALSE) =Table13[[#This Row],[Column10]], 1, VLOOKUP(VLOOKUP(G42&amp;" - "&amp;H42,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42" s="480" t="str">
        <f>IFERROR(IF(Parameters!$D$19="2014 IPCC Fifth Assessment", (Table13[[#This Row],[Column11]]*Data!$AJ$5)+(Table13[[#This Row],[Column12]]*Data!$AJ$6)+(Table13[[#This Row],[Column13]]*Data!$AJ$7), (Table13[[#This Row],[Column11]]*Data!$AI$5)+(Table13[[#This Row],[Column12]]*Data!$AI$6)+(Table13[[#This Row],[Column13]]*Data!$AI$7)), "")</f>
        <v/>
      </c>
      <c r="P42" s="480" t="str">
        <f>IF(Table13[[#This Row],[Column4]]="Fuel Use", _xlfn.IFNA((VLOOKUP(G42&amp;" - "&amp;H42, Mobile_S1_EF[], 'Emission Factors'!$G$234, FALSE)/IF(VLOOKUP(G42&amp;" - "&amp;H42, Mobile_S1_EF[], 9,FALSE) =Table13[[#This Row],[Column10]], 1, VLOOKUP(VLOOKUP(G42&amp;" - "&amp;H42,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42" s="480" t="str">
        <f>IF(Table13[[#This Row],[Column4]]="Fuel Use", _xlfn.IFNA(VLOOKUP(G42&amp;" - "&amp;H42, Mobile_S1_EF[], IF(Parameters!$D$19="2014 IPCC Fifth Assessment", 'Emission Factors'!$I$234, 'Emission Factors'!$H$234), FALSE), ""), IF(Table13[[#This Row],[Column4]]="Distance Activity", _xlfn.IFNA(VLOOKUP(G42&amp;" - "&amp;H42, Mobile_S1_EF[], IF(Parameters!$D$19="2014 IPCC Fifth Assessment", 'Emission Factors'!$I$234, 'Emission Factors'!$H$234), FALSE), ""), IF(Table13[[#This Row],[Column4]]="Custom emission factor", _xlfn.IFNA(VLOOKUP(Table13[[#This Row],[Column5]], Custom_EF[], 9, FALSE), ""), "")))</f>
        <v/>
      </c>
      <c r="R42" s="381" t="str">
        <f>_xlfn.IFNA(IF(Table13[[#This Row],[Column4]]&lt;&gt;"Custom emission factor", VLOOKUP(G42&amp;" - "&amp;H42, Mobile_S1_EF[], 'Emission Factors'!$K$234, FALSE), VLOOKUP(Table13[[#This Row],[Column5]], Custom_EF[], 4, FALSE)), "")</f>
        <v/>
      </c>
    </row>
    <row r="43" spans="3:18" ht="15.75">
      <c r="C43" s="345"/>
      <c r="D43" s="402"/>
      <c r="E43" s="397"/>
      <c r="F43" s="397"/>
      <c r="G43" s="395"/>
      <c r="H43" s="397"/>
      <c r="I43" s="402"/>
      <c r="J43"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43" s="395"/>
      <c r="L43" s="480" t="str">
        <f>IF(Table13[[#This Row],[Column4]]="Fuel Use", _xlfn.IFNA((VLOOKUP(G43&amp;" - "&amp;H43, Mobile_S1_EF[], 'Emission Factors'!$D$234, FALSE)/IF(VLOOKUP(G43&amp;" - "&amp;H43, Mobile_S1_EF[], 9,FALSE) =Table13[[#This Row],[Column10]], 1, VLOOKUP(VLOOKUP(G43&amp;" - "&amp;H43, Mobile_S1_EF[], 9,FALSE)&amp;"_to_"&amp;Table13[[#This Row],[Column10]], Conversions!$B$52:$F$162, Conversions!$E$52, FALSE))*Table13[[#This Row],[Column9]]/1000), ""), IF(Table13[[#This Row],[Column4]]="Distance Activity", _xlfn.IFNA((VLOOKUP(G43&amp;" - "&amp;H43,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43" s="476" t="str">
        <f>IF(Table13[[#This Row],[Column4]]="Fuel Use", _xlfn.IFNA((VLOOKUP(G43&amp;" - "&amp;H43, Mobile_S1_EF[], 'Emission Factors'!$E$234, FALSE)/IF(VLOOKUP(G43&amp;" - "&amp;H43, Mobile_S1_EF[], 9,FALSE) =Table13[[#This Row],[Column10]], 1, VLOOKUP(VLOOKUP(G43&amp;" - "&amp;H43, Mobile_S1_EF[], 9,FALSE)&amp;"_to_"&amp;Table13[[#This Row],[Column10]], Conversions!$B$52:$F$162, Conversions!$E$52, FALSE))*Table13[[#This Row],[Column9]]/1000), ""), IF(Table13[[#This Row],[Column4]]="Distance Activity", _xlfn.IFNA((VLOOKUP(G43&amp;" - "&amp;H43,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43" s="476" t="str">
        <f>IF(Table13[[#This Row],[Column4]]="Fuel Use", _xlfn.IFNA((VLOOKUP(G43&amp;" - "&amp;H43, Mobile_S1_EF[], 'Emission Factors'!$F$234, FALSE)/IF(VLOOKUP(G43&amp;" - "&amp;H43, Mobile_S1_EF[], 9,FALSE) =Table13[[#This Row],[Column10]], 1, VLOOKUP(VLOOKUP(G43&amp;" - "&amp;H43,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43" s="480" t="str">
        <f>IFERROR(IF(Parameters!$D$19="2014 IPCC Fifth Assessment", (Table13[[#This Row],[Column11]]*Data!$AJ$5)+(Table13[[#This Row],[Column12]]*Data!$AJ$6)+(Table13[[#This Row],[Column13]]*Data!$AJ$7), (Table13[[#This Row],[Column11]]*Data!$AI$5)+(Table13[[#This Row],[Column12]]*Data!$AI$6)+(Table13[[#This Row],[Column13]]*Data!$AI$7)), "")</f>
        <v/>
      </c>
      <c r="P43" s="480" t="str">
        <f>IF(Table13[[#This Row],[Column4]]="Fuel Use", _xlfn.IFNA((VLOOKUP(G43&amp;" - "&amp;H43, Mobile_S1_EF[], 'Emission Factors'!$G$234, FALSE)/IF(VLOOKUP(G43&amp;" - "&amp;H43, Mobile_S1_EF[], 9,FALSE) =Table13[[#This Row],[Column10]], 1, VLOOKUP(VLOOKUP(G43&amp;" - "&amp;H43,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43" s="480" t="str">
        <f>IF(Table13[[#This Row],[Column4]]="Fuel Use", _xlfn.IFNA(VLOOKUP(G43&amp;" - "&amp;H43, Mobile_S1_EF[], IF(Parameters!$D$19="2014 IPCC Fifth Assessment", 'Emission Factors'!$I$234, 'Emission Factors'!$H$234), FALSE), ""), IF(Table13[[#This Row],[Column4]]="Distance Activity", _xlfn.IFNA(VLOOKUP(G43&amp;" - "&amp;H43, Mobile_S1_EF[], IF(Parameters!$D$19="2014 IPCC Fifth Assessment", 'Emission Factors'!$I$234, 'Emission Factors'!$H$234), FALSE), ""), IF(Table13[[#This Row],[Column4]]="Custom emission factor", _xlfn.IFNA(VLOOKUP(Table13[[#This Row],[Column5]], Custom_EF[], 9, FALSE), ""), "")))</f>
        <v/>
      </c>
      <c r="R43" s="381" t="str">
        <f>_xlfn.IFNA(IF(Table13[[#This Row],[Column4]]&lt;&gt;"Custom emission factor", VLOOKUP(G43&amp;" - "&amp;H43, Mobile_S1_EF[], 'Emission Factors'!$K$234, FALSE), VLOOKUP(Table13[[#This Row],[Column5]], Custom_EF[], 4, FALSE)), "")</f>
        <v/>
      </c>
    </row>
    <row r="44" spans="3:18" ht="15.75">
      <c r="C44" s="345"/>
      <c r="D44" s="402"/>
      <c r="E44" s="397"/>
      <c r="F44" s="397"/>
      <c r="G44" s="395"/>
      <c r="H44" s="397"/>
      <c r="I44" s="402"/>
      <c r="J44"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44" s="395"/>
      <c r="L44" s="480" t="str">
        <f>IF(Table13[[#This Row],[Column4]]="Fuel Use", _xlfn.IFNA((VLOOKUP(G44&amp;" - "&amp;H44, Mobile_S1_EF[], 'Emission Factors'!$D$234, FALSE)/IF(VLOOKUP(G44&amp;" - "&amp;H44, Mobile_S1_EF[], 9,FALSE) =Table13[[#This Row],[Column10]], 1, VLOOKUP(VLOOKUP(G44&amp;" - "&amp;H44, Mobile_S1_EF[], 9,FALSE)&amp;"_to_"&amp;Table13[[#This Row],[Column10]], Conversions!$B$52:$F$162, Conversions!$E$52, FALSE))*Table13[[#This Row],[Column9]]/1000), ""), IF(Table13[[#This Row],[Column4]]="Distance Activity", _xlfn.IFNA((VLOOKUP(G44&amp;" - "&amp;H44,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44" s="476" t="str">
        <f>IF(Table13[[#This Row],[Column4]]="Fuel Use", _xlfn.IFNA((VLOOKUP(G44&amp;" - "&amp;H44, Mobile_S1_EF[], 'Emission Factors'!$E$234, FALSE)/IF(VLOOKUP(G44&amp;" - "&amp;H44, Mobile_S1_EF[], 9,FALSE) =Table13[[#This Row],[Column10]], 1, VLOOKUP(VLOOKUP(G44&amp;" - "&amp;H44, Mobile_S1_EF[], 9,FALSE)&amp;"_to_"&amp;Table13[[#This Row],[Column10]], Conversions!$B$52:$F$162, Conversions!$E$52, FALSE))*Table13[[#This Row],[Column9]]/1000), ""), IF(Table13[[#This Row],[Column4]]="Distance Activity", _xlfn.IFNA((VLOOKUP(G44&amp;" - "&amp;H44,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44" s="476" t="str">
        <f>IF(Table13[[#This Row],[Column4]]="Fuel Use", _xlfn.IFNA((VLOOKUP(G44&amp;" - "&amp;H44, Mobile_S1_EF[], 'Emission Factors'!$F$234, FALSE)/IF(VLOOKUP(G44&amp;" - "&amp;H44, Mobile_S1_EF[], 9,FALSE) =Table13[[#This Row],[Column10]], 1, VLOOKUP(VLOOKUP(G44&amp;" - "&amp;H44,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44" s="480" t="str">
        <f>IFERROR(IF(Parameters!$D$19="2014 IPCC Fifth Assessment", (Table13[[#This Row],[Column11]]*Data!$AJ$5)+(Table13[[#This Row],[Column12]]*Data!$AJ$6)+(Table13[[#This Row],[Column13]]*Data!$AJ$7), (Table13[[#This Row],[Column11]]*Data!$AI$5)+(Table13[[#This Row],[Column12]]*Data!$AI$6)+(Table13[[#This Row],[Column13]]*Data!$AI$7)), "")</f>
        <v/>
      </c>
      <c r="P44" s="480" t="str">
        <f>IF(Table13[[#This Row],[Column4]]="Fuel Use", _xlfn.IFNA((VLOOKUP(G44&amp;" - "&amp;H44, Mobile_S1_EF[], 'Emission Factors'!$G$234, FALSE)/IF(VLOOKUP(G44&amp;" - "&amp;H44, Mobile_S1_EF[], 9,FALSE) =Table13[[#This Row],[Column10]], 1, VLOOKUP(VLOOKUP(G44&amp;" - "&amp;H44,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44" s="480" t="str">
        <f>IF(Table13[[#This Row],[Column4]]="Fuel Use", _xlfn.IFNA(VLOOKUP(G44&amp;" - "&amp;H44, Mobile_S1_EF[], IF(Parameters!$D$19="2014 IPCC Fifth Assessment", 'Emission Factors'!$I$234, 'Emission Factors'!$H$234), FALSE), ""), IF(Table13[[#This Row],[Column4]]="Distance Activity", _xlfn.IFNA(VLOOKUP(G44&amp;" - "&amp;H44, Mobile_S1_EF[], IF(Parameters!$D$19="2014 IPCC Fifth Assessment", 'Emission Factors'!$I$234, 'Emission Factors'!$H$234), FALSE), ""), IF(Table13[[#This Row],[Column4]]="Custom emission factor", _xlfn.IFNA(VLOOKUP(Table13[[#This Row],[Column5]], Custom_EF[], 9, FALSE), ""), "")))</f>
        <v/>
      </c>
      <c r="R44" s="381" t="str">
        <f>_xlfn.IFNA(IF(Table13[[#This Row],[Column4]]&lt;&gt;"Custom emission factor", VLOOKUP(G44&amp;" - "&amp;H44, Mobile_S1_EF[], 'Emission Factors'!$K$234, FALSE), VLOOKUP(Table13[[#This Row],[Column5]], Custom_EF[], 4, FALSE)), "")</f>
        <v/>
      </c>
    </row>
    <row r="45" spans="3:18" ht="15.75">
      <c r="C45" s="345"/>
      <c r="D45" s="402"/>
      <c r="E45" s="397"/>
      <c r="F45" s="397"/>
      <c r="G45" s="395"/>
      <c r="H45" s="397"/>
      <c r="I45" s="402"/>
      <c r="J45"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45" s="395"/>
      <c r="L45" s="480" t="str">
        <f>IF(Table13[[#This Row],[Column4]]="Fuel Use", _xlfn.IFNA((VLOOKUP(G45&amp;" - "&amp;H45, Mobile_S1_EF[], 'Emission Factors'!$D$234, FALSE)/IF(VLOOKUP(G45&amp;" - "&amp;H45, Mobile_S1_EF[], 9,FALSE) =Table13[[#This Row],[Column10]], 1, VLOOKUP(VLOOKUP(G45&amp;" - "&amp;H45, Mobile_S1_EF[], 9,FALSE)&amp;"_to_"&amp;Table13[[#This Row],[Column10]], Conversions!$B$52:$F$162, Conversions!$E$52, FALSE))*Table13[[#This Row],[Column9]]/1000), ""), IF(Table13[[#This Row],[Column4]]="Distance Activity", _xlfn.IFNA((VLOOKUP(G45&amp;" - "&amp;H45,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45" s="476" t="str">
        <f>IF(Table13[[#This Row],[Column4]]="Fuel Use", _xlfn.IFNA((VLOOKUP(G45&amp;" - "&amp;H45, Mobile_S1_EF[], 'Emission Factors'!$E$234, FALSE)/IF(VLOOKUP(G45&amp;" - "&amp;H45, Mobile_S1_EF[], 9,FALSE) =Table13[[#This Row],[Column10]], 1, VLOOKUP(VLOOKUP(G45&amp;" - "&amp;H45, Mobile_S1_EF[], 9,FALSE)&amp;"_to_"&amp;Table13[[#This Row],[Column10]], Conversions!$B$52:$F$162, Conversions!$E$52, FALSE))*Table13[[#This Row],[Column9]]/1000), ""), IF(Table13[[#This Row],[Column4]]="Distance Activity", _xlfn.IFNA((VLOOKUP(G45&amp;" - "&amp;H45,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45" s="476" t="str">
        <f>IF(Table13[[#This Row],[Column4]]="Fuel Use", _xlfn.IFNA((VLOOKUP(G45&amp;" - "&amp;H45, Mobile_S1_EF[], 'Emission Factors'!$F$234, FALSE)/IF(VLOOKUP(G45&amp;" - "&amp;H45, Mobile_S1_EF[], 9,FALSE) =Table13[[#This Row],[Column10]], 1, VLOOKUP(VLOOKUP(G45&amp;" - "&amp;H45,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45" s="480" t="str">
        <f>IFERROR(IF(Parameters!$D$19="2014 IPCC Fifth Assessment", (Table13[[#This Row],[Column11]]*Data!$AJ$5)+(Table13[[#This Row],[Column12]]*Data!$AJ$6)+(Table13[[#This Row],[Column13]]*Data!$AJ$7), (Table13[[#This Row],[Column11]]*Data!$AI$5)+(Table13[[#This Row],[Column12]]*Data!$AI$6)+(Table13[[#This Row],[Column13]]*Data!$AI$7)), "")</f>
        <v/>
      </c>
      <c r="P45" s="480" t="str">
        <f>IF(Table13[[#This Row],[Column4]]="Fuel Use", _xlfn.IFNA((VLOOKUP(G45&amp;" - "&amp;H45, Mobile_S1_EF[], 'Emission Factors'!$G$234, FALSE)/IF(VLOOKUP(G45&amp;" - "&amp;H45, Mobile_S1_EF[], 9,FALSE) =Table13[[#This Row],[Column10]], 1, VLOOKUP(VLOOKUP(G45&amp;" - "&amp;H45,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45" s="480" t="str">
        <f>IF(Table13[[#This Row],[Column4]]="Fuel Use", _xlfn.IFNA(VLOOKUP(G45&amp;" - "&amp;H45, Mobile_S1_EF[], IF(Parameters!$D$19="2014 IPCC Fifth Assessment", 'Emission Factors'!$I$234, 'Emission Factors'!$H$234), FALSE), ""), IF(Table13[[#This Row],[Column4]]="Distance Activity", _xlfn.IFNA(VLOOKUP(G45&amp;" - "&amp;H45, Mobile_S1_EF[], IF(Parameters!$D$19="2014 IPCC Fifth Assessment", 'Emission Factors'!$I$234, 'Emission Factors'!$H$234), FALSE), ""), IF(Table13[[#This Row],[Column4]]="Custom emission factor", _xlfn.IFNA(VLOOKUP(Table13[[#This Row],[Column5]], Custom_EF[], 9, FALSE), ""), "")))</f>
        <v/>
      </c>
      <c r="R45" s="381" t="str">
        <f>_xlfn.IFNA(IF(Table13[[#This Row],[Column4]]&lt;&gt;"Custom emission factor", VLOOKUP(G45&amp;" - "&amp;H45, Mobile_S1_EF[], 'Emission Factors'!$K$234, FALSE), VLOOKUP(Table13[[#This Row],[Column5]], Custom_EF[], 4, FALSE)), "")</f>
        <v/>
      </c>
    </row>
    <row r="46" spans="3:18" ht="15.75">
      <c r="C46" s="345"/>
      <c r="D46" s="402"/>
      <c r="E46" s="397"/>
      <c r="F46" s="397"/>
      <c r="G46" s="395"/>
      <c r="H46" s="397"/>
      <c r="I46" s="402"/>
      <c r="J46"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46" s="395"/>
      <c r="L46" s="480" t="str">
        <f>IF(Table13[[#This Row],[Column4]]="Fuel Use", _xlfn.IFNA((VLOOKUP(G46&amp;" - "&amp;H46, Mobile_S1_EF[], 'Emission Factors'!$D$234, FALSE)/IF(VLOOKUP(G46&amp;" - "&amp;H46, Mobile_S1_EF[], 9,FALSE) =Table13[[#This Row],[Column10]], 1, VLOOKUP(VLOOKUP(G46&amp;" - "&amp;H46, Mobile_S1_EF[], 9,FALSE)&amp;"_to_"&amp;Table13[[#This Row],[Column10]], Conversions!$B$52:$F$162, Conversions!$E$52, FALSE))*Table13[[#This Row],[Column9]]/1000), ""), IF(Table13[[#This Row],[Column4]]="Distance Activity", _xlfn.IFNA((VLOOKUP(G46&amp;" - "&amp;H46,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46" s="476" t="str">
        <f>IF(Table13[[#This Row],[Column4]]="Fuel Use", _xlfn.IFNA((VLOOKUP(G46&amp;" - "&amp;H46, Mobile_S1_EF[], 'Emission Factors'!$E$234, FALSE)/IF(VLOOKUP(G46&amp;" - "&amp;H46, Mobile_S1_EF[], 9,FALSE) =Table13[[#This Row],[Column10]], 1, VLOOKUP(VLOOKUP(G46&amp;" - "&amp;H46, Mobile_S1_EF[], 9,FALSE)&amp;"_to_"&amp;Table13[[#This Row],[Column10]], Conversions!$B$52:$F$162, Conversions!$E$52, FALSE))*Table13[[#This Row],[Column9]]/1000), ""), IF(Table13[[#This Row],[Column4]]="Distance Activity", _xlfn.IFNA((VLOOKUP(G46&amp;" - "&amp;H46,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46" s="476" t="str">
        <f>IF(Table13[[#This Row],[Column4]]="Fuel Use", _xlfn.IFNA((VLOOKUP(G46&amp;" - "&amp;H46, Mobile_S1_EF[], 'Emission Factors'!$F$234, FALSE)/IF(VLOOKUP(G46&amp;" - "&amp;H46, Mobile_S1_EF[], 9,FALSE) =Table13[[#This Row],[Column10]], 1, VLOOKUP(VLOOKUP(G46&amp;" - "&amp;H46,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46" s="480" t="str">
        <f>IFERROR(IF(Parameters!$D$19="2014 IPCC Fifth Assessment", (Table13[[#This Row],[Column11]]*Data!$AJ$5)+(Table13[[#This Row],[Column12]]*Data!$AJ$6)+(Table13[[#This Row],[Column13]]*Data!$AJ$7), (Table13[[#This Row],[Column11]]*Data!$AI$5)+(Table13[[#This Row],[Column12]]*Data!$AI$6)+(Table13[[#This Row],[Column13]]*Data!$AI$7)), "")</f>
        <v/>
      </c>
      <c r="P46" s="480" t="str">
        <f>IF(Table13[[#This Row],[Column4]]="Fuel Use", _xlfn.IFNA((VLOOKUP(G46&amp;" - "&amp;H46, Mobile_S1_EF[], 'Emission Factors'!$G$234, FALSE)/IF(VLOOKUP(G46&amp;" - "&amp;H46, Mobile_S1_EF[], 9,FALSE) =Table13[[#This Row],[Column10]], 1, VLOOKUP(VLOOKUP(G46&amp;" - "&amp;H46,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46" s="480" t="str">
        <f>IF(Table13[[#This Row],[Column4]]="Fuel Use", _xlfn.IFNA(VLOOKUP(G46&amp;" - "&amp;H46, Mobile_S1_EF[], IF(Parameters!$D$19="2014 IPCC Fifth Assessment", 'Emission Factors'!$I$234, 'Emission Factors'!$H$234), FALSE), ""), IF(Table13[[#This Row],[Column4]]="Distance Activity", _xlfn.IFNA(VLOOKUP(G46&amp;" - "&amp;H46, Mobile_S1_EF[], IF(Parameters!$D$19="2014 IPCC Fifth Assessment", 'Emission Factors'!$I$234, 'Emission Factors'!$H$234), FALSE), ""), IF(Table13[[#This Row],[Column4]]="Custom emission factor", _xlfn.IFNA(VLOOKUP(Table13[[#This Row],[Column5]], Custom_EF[], 9, FALSE), ""), "")))</f>
        <v/>
      </c>
      <c r="R46" s="381" t="str">
        <f>_xlfn.IFNA(IF(Table13[[#This Row],[Column4]]&lt;&gt;"Custom emission factor", VLOOKUP(G46&amp;" - "&amp;H46, Mobile_S1_EF[], 'Emission Factors'!$K$234, FALSE), VLOOKUP(Table13[[#This Row],[Column5]], Custom_EF[], 4, FALSE)), "")</f>
        <v/>
      </c>
    </row>
    <row r="47" spans="3:18" ht="15.75">
      <c r="C47" s="345"/>
      <c r="D47" s="402"/>
      <c r="E47" s="397"/>
      <c r="F47" s="397"/>
      <c r="G47" s="397"/>
      <c r="H47" s="399"/>
      <c r="I47" s="402"/>
      <c r="J47" s="761">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47" s="397"/>
      <c r="L47" s="480" t="str">
        <f>IF(Table13[[#This Row],[Column4]]="Fuel Use", _xlfn.IFNA((VLOOKUP(G47&amp;" - "&amp;H47, Mobile_S1_EF[], 'Emission Factors'!$D$234, FALSE)/IF(VLOOKUP(G47&amp;" - "&amp;H47, Mobile_S1_EF[], 9,FALSE) =Table13[[#This Row],[Column10]], 1, VLOOKUP(VLOOKUP(G47&amp;" - "&amp;H47, Mobile_S1_EF[], 9,FALSE)&amp;"_to_"&amp;Table13[[#This Row],[Column10]], Conversions!$B$52:$F$162, Conversions!$E$52, FALSE))*Table13[[#This Row],[Column9]]/1000), ""), IF(Table13[[#This Row],[Column4]]="Distance Activity", _xlfn.IFNA((VLOOKUP(G47&amp;" - "&amp;H47,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47" s="476" t="str">
        <f>IF(Table13[[#This Row],[Column4]]="Fuel Use", _xlfn.IFNA((VLOOKUP(G47&amp;" - "&amp;H47, Mobile_S1_EF[], 'Emission Factors'!$E$234, FALSE)/IF(VLOOKUP(G47&amp;" - "&amp;H47, Mobile_S1_EF[], 9,FALSE) =Table13[[#This Row],[Column10]], 1, VLOOKUP(VLOOKUP(G47&amp;" - "&amp;H47, Mobile_S1_EF[], 9,FALSE)&amp;"_to_"&amp;Table13[[#This Row],[Column10]], Conversions!$B$52:$F$162, Conversions!$E$52, FALSE))*Table13[[#This Row],[Column9]]/1000), ""), IF(Table13[[#This Row],[Column4]]="Distance Activity", _xlfn.IFNA((VLOOKUP(G47&amp;" - "&amp;H47,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47" s="476" t="str">
        <f>IF(Table13[[#This Row],[Column4]]="Fuel Use", _xlfn.IFNA((VLOOKUP(G47&amp;" - "&amp;H47, Mobile_S1_EF[], 'Emission Factors'!$F$234, FALSE)/IF(VLOOKUP(G47&amp;" - "&amp;H47, Mobile_S1_EF[], 9,FALSE) =Table13[[#This Row],[Column10]], 1, VLOOKUP(VLOOKUP(G47&amp;" - "&amp;H47,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47" s="480" t="str">
        <f>IFERROR(IF(Parameters!$D$19="2014 IPCC Fifth Assessment", (Table13[[#This Row],[Column11]]*Data!$AJ$5)+(Table13[[#This Row],[Column12]]*Data!$AJ$6)+(Table13[[#This Row],[Column13]]*Data!$AJ$7), (Table13[[#This Row],[Column11]]*Data!$AI$5)+(Table13[[#This Row],[Column12]]*Data!$AI$6)+(Table13[[#This Row],[Column13]]*Data!$AI$7)), "")</f>
        <v/>
      </c>
      <c r="P47" s="480" t="str">
        <f>IF(Table13[[#This Row],[Column4]]="Fuel Use", _xlfn.IFNA((VLOOKUP(G47&amp;" - "&amp;H47, Mobile_S1_EF[], 'Emission Factors'!$G$234, FALSE)/IF(VLOOKUP(G47&amp;" - "&amp;H47, Mobile_S1_EF[], 9,FALSE) =Table13[[#This Row],[Column10]], 1, VLOOKUP(VLOOKUP(G47&amp;" - "&amp;H47,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47" s="480" t="str">
        <f>IF(Table13[[#This Row],[Column4]]="Fuel Use", _xlfn.IFNA(VLOOKUP(G47&amp;" - "&amp;H47, Mobile_S1_EF[], IF(Parameters!$D$19="2014 IPCC Fifth Assessment", 'Emission Factors'!$I$234, 'Emission Factors'!$H$234), FALSE), ""), IF(Table13[[#This Row],[Column4]]="Distance Activity", _xlfn.IFNA(VLOOKUP(G47&amp;" - "&amp;H47, Mobile_S1_EF[], IF(Parameters!$D$19="2014 IPCC Fifth Assessment", 'Emission Factors'!$I$234, 'Emission Factors'!$H$234), FALSE), ""), IF(Table13[[#This Row],[Column4]]="Custom emission factor", _xlfn.IFNA(VLOOKUP(Table13[[#This Row],[Column5]], Custom_EF[], 9, FALSE), ""), "")))</f>
        <v/>
      </c>
      <c r="R47" s="381" t="str">
        <f>_xlfn.IFNA(IF(Table13[[#This Row],[Column4]]&lt;&gt;"Custom emission factor", VLOOKUP(G47&amp;" - "&amp;H47, Mobile_S1_EF[], 'Emission Factors'!$K$234, FALSE), VLOOKUP(Table13[[#This Row],[Column5]], Custom_EF[], 4, FALSE)), "")</f>
        <v/>
      </c>
    </row>
    <row r="48" spans="3:18" ht="15.75">
      <c r="C48" s="346"/>
      <c r="D48" s="405"/>
      <c r="E48" s="400"/>
      <c r="F48" s="400"/>
      <c r="G48" s="395"/>
      <c r="H48" s="400"/>
      <c r="I48" s="405"/>
      <c r="J48" s="762">
        <f>_xlfn.IFNA(IF(Table13[[#This Row],[Column4]]="Distance Activity", Table13[[#This Row],[Column9]]/IF(Table13[[#This Row],[Column10]]="mile", VLOOKUP(Table13[[#This Row],[Column5]]&amp;" - "&amp;Table13[[#This Row],[Column6]], Mobile_S1_EF[#All], 11, FALSE), IF(Table13[[#This Row],[Column10]]="km", VLOOKUP(Table13[[#This Row],[Column5]]&amp;" - "&amp;Table13[[#This Row],[Column6]], Mobile_S1_EF[#All], 11, FALSE)*1.60934, IF(Table13[[#This Row],[Column10]]="nautical mile", VLOOKUP(Table13[[#This Row],[Column5]]&amp;" - "&amp;Table13[[#This Row],[Column6]], Mobile_S1_EF[#All], 11, FALSE)*0.868976))), Table13[[#This Row],[Column9]]), "")</f>
        <v>0</v>
      </c>
      <c r="K48" s="395"/>
      <c r="L48" s="481" t="str">
        <f>IF(Table13[[#This Row],[Column4]]="Fuel Use", _xlfn.IFNA((VLOOKUP(G48&amp;" - "&amp;H48, Mobile_S1_EF[], 'Emission Factors'!$D$234, FALSE)/IF(VLOOKUP(G48&amp;" - "&amp;H48, Mobile_S1_EF[], 9,FALSE) =Table13[[#This Row],[Column10]], 1, VLOOKUP(VLOOKUP(G48&amp;" - "&amp;H48, Mobile_S1_EF[], 9,FALSE)&amp;"_to_"&amp;Table13[[#This Row],[Column10]], Conversions!$B$52:$F$162, Conversions!$E$52, FALSE))*Table13[[#This Row],[Column9]]/1000), ""), IF(Table13[[#This Row],[Column4]]="Distance Activity", _xlfn.IFNA((VLOOKUP(G48&amp;" - "&amp;H48, Mobile_S1_EF[], 'Emission Factors'!$D$234, FALSE)*Table13[[#This Row],[Column19]]/1000), ""), IF(Table13[[#This Row],[Column4]]="Custom emission factor",  _xlfn.IFNA((VLOOKUP(Table13[[#This Row],[Column5]], Custom_EF[], 5,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M48" s="477" t="str">
        <f>IF(Table13[[#This Row],[Column4]]="Fuel Use", _xlfn.IFNA((VLOOKUP(G48&amp;" - "&amp;H48, Mobile_S1_EF[], 'Emission Factors'!$E$234, FALSE)/IF(VLOOKUP(G48&amp;" - "&amp;H48, Mobile_S1_EF[], 9,FALSE) =Table13[[#This Row],[Column10]], 1, VLOOKUP(VLOOKUP(G48&amp;" - "&amp;H48, Mobile_S1_EF[], 9,FALSE)&amp;"_to_"&amp;Table13[[#This Row],[Column10]], Conversions!$B$52:$F$162, Conversions!$E$52, FALSE))*Table13[[#This Row],[Column9]]/1000), ""), IF(Table13[[#This Row],[Column4]]="Distance Activity", _xlfn.IFNA((VLOOKUP(G48&amp;" - "&amp;H48, Mobile_S1_EF[], 'Emission Factors'!$E$234, FALSE)*Table13[[#This Row],[Column19]]/1000), ""),IF(Table13[[#This Row],[Column4]]="Custom emission factor",  _xlfn.IFNA((VLOOKUP(Table13[[#This Row],[Column5]], Custom_EF[], 6,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N48" s="477" t="str">
        <f>IF(Table13[[#This Row],[Column4]]="Fuel Use", _xlfn.IFNA((VLOOKUP(G48&amp;" - "&amp;H48, Mobile_S1_EF[], 'Emission Factors'!$F$234, FALSE)/IF(VLOOKUP(G48&amp;" - "&amp;H48, Mobile_S1_EF[], 9,FALSE) =Table13[[#This Row],[Column10]], 1, VLOOKUP(VLOOKUP(G48&amp;" - "&amp;H48, Mobile_S1_EF[], 9,FALSE)&amp;"_to_"&amp;Table13[[#This Row],[Column10]], Conversions!$B$52:$F$162, Conversions!$E$52, FALSE))*Table13[[#This Row],[Column9]]/1000), ""), IF(Table13[[#This Row],[Column4]]="Distance Activity", _xlfn.IFNA((VLOOKUP(Table13[[#This Row],[Column5]]&amp;" - "&amp;Table13[[#This Row],[Column6]], Mobile_S1_EF[], 'Emission Factors'!$F$234, FALSE)*Table13[[#This Row],[Column19]]/1000), ""),IF(Table13[[#This Row],[Column4]]="Custom emission factor",  _xlfn.IFNA((VLOOKUP(Table13[[#This Row],[Column5]], Custom_EF[], 7,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O48" s="481" t="str">
        <f>IFERROR(IF(Parameters!$D$19="2014 IPCC Fifth Assessment", (Table13[[#This Row],[Column11]]*Data!$AJ$5)+(Table13[[#This Row],[Column12]]*Data!$AJ$6)+(Table13[[#This Row],[Column13]]*Data!$AJ$7), (Table13[[#This Row],[Column11]]*Data!$AI$5)+(Table13[[#This Row],[Column12]]*Data!$AI$6)+(Table13[[#This Row],[Column13]]*Data!$AI$7)), "")</f>
        <v/>
      </c>
      <c r="P48" s="481" t="str">
        <f>IF(Table13[[#This Row],[Column4]]="Fuel Use", _xlfn.IFNA((VLOOKUP(G48&amp;" - "&amp;H48, Mobile_S1_EF[], 'Emission Factors'!$G$234, FALSE)/IF(VLOOKUP(G48&amp;" - "&amp;H48, Mobile_S1_EF[], 9,FALSE) =Table13[[#This Row],[Column10]], 1, VLOOKUP(VLOOKUP(G48&amp;" - "&amp;H48, Mobile_S1_EF[], 9,FALSE)&amp;"_to_"&amp;Table13[[#This Row],[Column10]], Conversions!$B$52:$F$162, Conversions!$E$52, FALSE))*Table13[[#This Row],[Column9]]/1000), ""), IF(Table13[[#This Row],[Column4]]="Distance Activity", _xlfn.IFNA((VLOOKUP(Table13[[#This Row],[Column5]]&amp;" - "&amp;Table13[[#This Row],[Column6]], Mobile_S1_EF[], 'Emission Factors'!$G$234, FALSE)*Table13[[#This Row],[Column19]]/1000), ""), IF(Table13[[#This Row],[Column4]]="Custom emission factor",  _xlfn.IFNA((VLOOKUP(Table13[[#This Row],[Column5]], Custom_EF[], 8, FALSE)*IF(VLOOKUP(Table13[[#This Row],[Column5]], Custom_EF[], 10, FALSE)="kg", 1, IF(VLOOKUP(Table13[[#This Row],[Column5]], Custom_EF[], 10, FALSE)="g", 0.001, IF(VLOOKUP(Table13[[#This Row],[Column5]], Custom_EF[], 10, FALSE)="tonne", 1000)))/IF(VLOOKUP(Table13[[#This Row],[Column5]], Custom_EF[], 11,FALSE) =Table13[[#This Row],[Column10]], 1, VLOOKUP(VLOOKUP(Table13[[#This Row],[Column5]], Custom_EF[], 11,FALSE)&amp;"_to_"&amp;Table13[[#This Row],[Column10]], Conversions!$B$52:$F$162, Conversions!$E$52, FALSE))*Table13[[#This Row],[Column9]]/1000), ""), "")))</f>
        <v/>
      </c>
      <c r="Q48" s="481" t="str">
        <f>IF(Table13[[#This Row],[Column4]]="Fuel Use", _xlfn.IFNA(VLOOKUP(G48&amp;" - "&amp;H48, Mobile_S1_EF[], IF(Parameters!$D$19="2014 IPCC Fifth Assessment", 'Emission Factors'!$I$234, 'Emission Factors'!$H$234), FALSE), ""), IF(Table13[[#This Row],[Column4]]="Distance Activity", _xlfn.IFNA(VLOOKUP(G48&amp;" - "&amp;H48, Mobile_S1_EF[], IF(Parameters!$D$19="2014 IPCC Fifth Assessment", 'Emission Factors'!$I$234, 'Emission Factors'!$H$234), FALSE), ""), IF(Table13[[#This Row],[Column4]]="Custom emission factor", _xlfn.IFNA(VLOOKUP(Table13[[#This Row],[Column5]], Custom_EF[], 9, FALSE), ""), "")))</f>
        <v/>
      </c>
      <c r="R48" s="382" t="str">
        <f>_xlfn.IFNA(IF(Table13[[#This Row],[Column4]]&lt;&gt;"Custom emission factor", VLOOKUP(G48&amp;" - "&amp;H48, Mobile_S1_EF[], 'Emission Factors'!$K$234, FALSE), VLOOKUP(Table13[[#This Row],[Column5]], Custom_EF[], 4, FALSE)), "")</f>
        <v/>
      </c>
    </row>
    <row r="49" spans="3:15" ht="18.75">
      <c r="J49" s="682"/>
      <c r="K49" s="926" t="s">
        <v>1238</v>
      </c>
      <c r="L49" s="927"/>
      <c r="M49" s="927"/>
      <c r="N49" s="928"/>
      <c r="O49" s="639">
        <f>SUM(Table13[[#All],[Column14]])</f>
        <v>0</v>
      </c>
    </row>
    <row r="50" spans="3:15" ht="18.75">
      <c r="C50" s="216"/>
      <c r="J50" s="683"/>
      <c r="K50" s="929" t="s">
        <v>1239</v>
      </c>
      <c r="L50" s="930"/>
      <c r="M50" s="930"/>
      <c r="N50" s="931"/>
      <c r="O50" s="684">
        <f>SUM(Table13[[#All],[Column15]])</f>
        <v>0</v>
      </c>
    </row>
    <row r="51" spans="3:15">
      <c r="C51" s="216"/>
    </row>
    <row r="52" spans="3:15">
      <c r="C52" s="303"/>
    </row>
    <row r="53" spans="3:15">
      <c r="C53" s="243"/>
    </row>
  </sheetData>
  <mergeCells count="13">
    <mergeCell ref="C13:F13"/>
    <mergeCell ref="C11:L11"/>
    <mergeCell ref="Q22:R22"/>
    <mergeCell ref="K49:N49"/>
    <mergeCell ref="K50:N50"/>
    <mergeCell ref="F22:F23"/>
    <mergeCell ref="C22:C23"/>
    <mergeCell ref="D22:D23"/>
    <mergeCell ref="E22:E23"/>
    <mergeCell ref="G22:G23"/>
    <mergeCell ref="H22:H23"/>
    <mergeCell ref="L22:P22"/>
    <mergeCell ref="I22:K22"/>
  </mergeCells>
  <conditionalFormatting sqref="H24:H48">
    <cfRule type="expression" dxfId="25" priority="1">
      <formula>IF($F24="Custom emission factor", TRUE)</formula>
    </cfRule>
  </conditionalFormatting>
  <conditionalFormatting sqref="L24:L48">
    <cfRule type="cellIs" dxfId="24" priority="3" operator="equal">
      <formula>0</formula>
    </cfRule>
  </conditionalFormatting>
  <conditionalFormatting sqref="P24:P48">
    <cfRule type="cellIs" dxfId="23" priority="2" operator="equal">
      <formula>0</formula>
    </cfRule>
  </conditionalFormatting>
  <dataValidations count="2">
    <dataValidation type="list" allowBlank="1" showInputMessage="1" showErrorMessage="1" sqref="H24:H48" xr:uid="{8F9119C1-338E-431F-B353-A0DCAB3C160A}">
      <formula1>INDIRECT(VLOOKUP(G24, Fuel_Source_Dropdown, 2, FALSE))</formula1>
    </dataValidation>
    <dataValidation type="list" allowBlank="1" showInputMessage="1" showErrorMessage="1" sqref="G24:G48" xr:uid="{EC438E2B-E8E3-4B47-916B-AB2DC30B4955}">
      <formula1>IF(F24="Custom emission factor", S1_MC_Custom_EF, Fuel_Source)</formula1>
    </dataValidation>
  </dataValidations>
  <pageMargins left="0.7" right="0.7" top="0.75" bottom="0.75" header="0.3" footer="0.3"/>
  <pageSetup orientation="portrait" r:id="rId1"/>
  <drawing r:id="rId2"/>
  <tableParts count="1">
    <tablePart r:id="rId3"/>
  </tableParts>
  <extLst>
    <ext xmlns:x14="http://schemas.microsoft.com/office/spreadsheetml/2009/9/main" uri="{CCE6A557-97BC-4b89-ADB6-D9C93CAAB3DF}">
      <x14:dataValidations xmlns:xm="http://schemas.microsoft.com/office/excel/2006/main" count="4">
        <x14:dataValidation type="list" allowBlank="1" showInputMessage="1" showErrorMessage="1" xr:uid="{1DB93C01-034E-4800-9057-259F7DA0FAF4}">
          <x14:formula1>
            <xm:f>Dropdowns!$P$2:$P$4</xm:f>
          </x14:formula1>
          <xm:sqref>F24:F48</xm:sqref>
        </x14:dataValidation>
        <x14:dataValidation type="list" allowBlank="1" showInputMessage="1" showErrorMessage="1" xr:uid="{58E378AB-0DEB-4792-B99A-5A95DC67556D}">
          <x14:formula1>
            <xm:f>Parameters!$C$31:$C$36</xm:f>
          </x14:formula1>
          <xm:sqref>C24:C48</xm:sqref>
        </x14:dataValidation>
        <x14:dataValidation type="list" allowBlank="1" showInputMessage="1" showErrorMessage="1" xr:uid="{88407747-CBC8-4106-B2B7-217E843E85CE}">
          <x14:formula1>
            <xm:f>Parameters!$F$43:$F$52</xm:f>
          </x14:formula1>
          <xm:sqref>E24:E48</xm:sqref>
        </x14:dataValidation>
        <x14:dataValidation type="list" allowBlank="1" showInputMessage="1" showErrorMessage="1" xr:uid="{3FDCBE39-6512-4E73-9B98-E1039AAB51F3}">
          <x14:formula1>
            <xm:f>IF($F24="Distance Activity", Dropdowns!$W$2:$W$4, Dropdowns!$N$2:$N$7)</xm:f>
          </x14:formula1>
          <xm:sqref>K24:K48</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17815-251B-4929-9B9D-A730B2A57321}">
  <sheetPr codeName="Sheet6">
    <tabColor rgb="FFFFC000"/>
  </sheetPr>
  <dimension ref="B1:AH117"/>
  <sheetViews>
    <sheetView showGridLines="0" zoomScale="115" zoomScaleNormal="115" workbookViewId="0">
      <selection activeCell="AM34" sqref="A32:AM34"/>
    </sheetView>
  </sheetViews>
  <sheetFormatPr baseColWidth="10" defaultColWidth="9.140625" defaultRowHeight="15"/>
  <cols>
    <col min="3" max="3" width="12.140625" customWidth="1"/>
    <col min="4" max="4" width="39.7109375" customWidth="1"/>
    <col min="5" max="5" width="28" customWidth="1"/>
    <col min="6" max="6" width="45.28515625" customWidth="1"/>
    <col min="7" max="7" width="39.5703125" customWidth="1"/>
    <col min="8" max="8" width="25.28515625" customWidth="1"/>
    <col min="9" max="9" width="28.5703125" customWidth="1"/>
    <col min="10" max="10" width="27.28515625" customWidth="1"/>
    <col min="11" max="11" width="28.5703125" customWidth="1"/>
    <col min="12" max="12" width="19.7109375" customWidth="1"/>
    <col min="13" max="13" width="21.42578125" customWidth="1"/>
    <col min="14" max="14" width="15.5703125" customWidth="1"/>
    <col min="15" max="15" width="14.5703125" customWidth="1"/>
    <col min="16" max="16" width="16" customWidth="1"/>
    <col min="17" max="17" width="10.42578125" customWidth="1"/>
    <col min="18" max="18" width="11.140625" customWidth="1"/>
    <col min="19" max="19" width="16.28515625" customWidth="1"/>
    <col min="20" max="20" width="22.85546875" customWidth="1"/>
    <col min="21" max="21" width="18.85546875" customWidth="1"/>
    <col min="22" max="22" width="16.7109375" customWidth="1"/>
    <col min="23" max="23" width="20.28515625" customWidth="1"/>
    <col min="26" max="27" width="8.7109375" customWidth="1"/>
    <col min="28" max="28" width="16.7109375" hidden="1" customWidth="1"/>
    <col min="29" max="29" width="19.7109375" hidden="1" customWidth="1"/>
    <col min="30" max="30" width="25.42578125" hidden="1" customWidth="1"/>
    <col min="31" max="31" width="23.28515625" hidden="1" customWidth="1"/>
    <col min="32" max="32" width="21.7109375" hidden="1" customWidth="1"/>
    <col min="33" max="33" width="19.28515625" hidden="1" customWidth="1"/>
    <col min="34" max="34" width="20.28515625" hidden="1" customWidth="1"/>
  </cols>
  <sheetData>
    <row r="1" spans="2:8" s="363" customFormat="1"/>
    <row r="2" spans="2:8" s="363" customFormat="1"/>
    <row r="3" spans="2:8" s="363" customFormat="1"/>
    <row r="4" spans="2:8" s="363" customFormat="1"/>
    <row r="5" spans="2:8" s="363" customFormat="1"/>
    <row r="6" spans="2:8" s="363" customFormat="1"/>
    <row r="7" spans="2:8" s="363" customFormat="1"/>
    <row r="8" spans="2:8" s="325" customFormat="1" ht="26.25">
      <c r="B8" s="488" t="s">
        <v>1240</v>
      </c>
      <c r="D8" s="488"/>
    </row>
    <row r="10" spans="2:8">
      <c r="B10" s="894"/>
      <c r="C10" s="894"/>
      <c r="D10" s="706" t="s">
        <v>1241</v>
      </c>
    </row>
    <row r="11" spans="2:8" ht="15.75" thickBot="1"/>
    <row r="12" spans="2:8" ht="65.25" customHeight="1">
      <c r="D12" s="943" t="s">
        <v>1242</v>
      </c>
      <c r="E12" s="944"/>
      <c r="F12" s="944"/>
      <c r="G12" s="944"/>
      <c r="H12" s="945"/>
    </row>
    <row r="13" spans="2:8" ht="24.4" customHeight="1" thickBot="1">
      <c r="D13" s="500"/>
      <c r="E13" s="501"/>
      <c r="F13" s="501"/>
      <c r="G13" s="501"/>
      <c r="H13" s="502"/>
    </row>
    <row r="14" spans="2:8" ht="22.5" customHeight="1">
      <c r="D14" s="503" t="s">
        <v>1243</v>
      </c>
      <c r="E14" s="504"/>
      <c r="F14" s="504"/>
      <c r="G14" s="504"/>
      <c r="H14" s="505"/>
    </row>
    <row r="15" spans="2:8">
      <c r="D15" s="506"/>
      <c r="H15" s="444"/>
    </row>
    <row r="16" spans="2:8" ht="124.5" customHeight="1" thickBot="1">
      <c r="D16" s="975" t="s">
        <v>1244</v>
      </c>
      <c r="E16" s="976"/>
      <c r="F16" s="976"/>
      <c r="G16" s="976"/>
      <c r="H16" s="977"/>
    </row>
    <row r="17" spans="2:34">
      <c r="D17" s="506"/>
      <c r="H17" s="444"/>
    </row>
    <row r="18" spans="2:34">
      <c r="D18" s="507" t="s">
        <v>1245</v>
      </c>
      <c r="H18" s="444"/>
    </row>
    <row r="19" spans="2:34">
      <c r="D19" s="506"/>
      <c r="H19" s="444"/>
    </row>
    <row r="20" spans="2:34" ht="164.65" customHeight="1" thickBot="1">
      <c r="D20" s="978" t="s">
        <v>1246</v>
      </c>
      <c r="E20" s="979"/>
      <c r="F20" s="979"/>
      <c r="G20" s="979"/>
      <c r="H20" s="980"/>
    </row>
    <row r="21" spans="2:34">
      <c r="D21" s="508"/>
    </row>
    <row r="23" spans="2:34">
      <c r="B23" s="989" t="s">
        <v>1247</v>
      </c>
      <c r="C23" s="989"/>
      <c r="D23" s="499" t="s">
        <v>1473</v>
      </c>
    </row>
    <row r="27" spans="2:34" ht="15.75">
      <c r="D27" s="509"/>
      <c r="E27" s="510"/>
      <c r="F27" s="511"/>
      <c r="G27" s="512"/>
      <c r="H27" s="512"/>
      <c r="I27" s="512"/>
      <c r="J27" s="510"/>
      <c r="K27" s="510"/>
      <c r="L27" s="510"/>
      <c r="M27" s="510"/>
      <c r="N27" s="510"/>
      <c r="O27" s="510"/>
      <c r="P27" s="510"/>
      <c r="Q27" s="513"/>
      <c r="R27" s="514"/>
      <c r="S27" s="510"/>
      <c r="T27" s="510"/>
      <c r="U27" s="510"/>
      <c r="V27" s="510"/>
      <c r="W27" s="510"/>
      <c r="X27" s="513"/>
    </row>
    <row r="28" spans="2:34" ht="15.75">
      <c r="D28" s="347" t="s">
        <v>1249</v>
      </c>
      <c r="E28" s="348"/>
      <c r="F28" s="348"/>
      <c r="G28" s="348"/>
      <c r="H28" s="348"/>
      <c r="I28" s="349"/>
      <c r="J28" s="349"/>
      <c r="K28" s="349"/>
      <c r="L28" s="349"/>
      <c r="M28" s="349"/>
      <c r="N28" s="349"/>
      <c r="O28" s="349"/>
      <c r="P28" s="349"/>
      <c r="Q28" s="515"/>
      <c r="R28" s="349"/>
      <c r="S28" s="349"/>
      <c r="T28" s="349"/>
      <c r="U28" s="349"/>
      <c r="V28" s="349"/>
      <c r="W28" s="349"/>
      <c r="X28" s="515"/>
    </row>
    <row r="29" spans="2:34" ht="15.75">
      <c r="D29" s="350"/>
      <c r="E29" s="351"/>
      <c r="F29" s="351"/>
      <c r="G29" s="351"/>
      <c r="H29" s="351"/>
      <c r="I29" s="352"/>
      <c r="J29" s="352"/>
      <c r="K29" s="352"/>
      <c r="L29" s="352"/>
      <c r="M29" s="352"/>
      <c r="N29" s="352"/>
      <c r="O29" s="352"/>
      <c r="P29" s="352"/>
      <c r="Q29" s="515"/>
      <c r="R29" s="349"/>
      <c r="S29" s="983" t="s">
        <v>1250</v>
      </c>
      <c r="T29" s="983"/>
      <c r="U29" s="983"/>
      <c r="V29" s="983"/>
      <c r="W29" s="349"/>
      <c r="X29" s="515"/>
    </row>
    <row r="30" spans="2:34">
      <c r="D30" s="353" t="s">
        <v>1251</v>
      </c>
      <c r="E30" s="353" t="s">
        <v>1252</v>
      </c>
      <c r="F30" s="353" t="s">
        <v>1253</v>
      </c>
      <c r="G30" s="353" t="s">
        <v>1254</v>
      </c>
      <c r="H30" s="353" t="s">
        <v>1255</v>
      </c>
      <c r="I30" s="353" t="s">
        <v>1256</v>
      </c>
      <c r="J30" s="353" t="s">
        <v>1257</v>
      </c>
      <c r="K30" s="456" t="s">
        <v>1258</v>
      </c>
      <c r="L30" s="456" t="s">
        <v>1259</v>
      </c>
      <c r="M30" s="456" t="s">
        <v>1260</v>
      </c>
      <c r="N30" s="456" t="s">
        <v>1261</v>
      </c>
      <c r="O30" s="456" t="s">
        <v>1262</v>
      </c>
      <c r="P30" s="353" t="s">
        <v>1263</v>
      </c>
      <c r="Q30" s="516"/>
      <c r="R30" s="517"/>
      <c r="S30" s="518"/>
      <c r="T30" s="354" t="s">
        <v>1264</v>
      </c>
      <c r="U30" s="354" t="s">
        <v>1265</v>
      </c>
      <c r="V30" s="354" t="s">
        <v>1266</v>
      </c>
      <c r="W30" s="354" t="s">
        <v>1267</v>
      </c>
      <c r="X30" s="552"/>
    </row>
    <row r="31" spans="2:34" ht="14.65" customHeight="1">
      <c r="D31" s="948" t="s">
        <v>1268</v>
      </c>
      <c r="E31" s="948"/>
      <c r="F31" s="948" t="s">
        <v>1269</v>
      </c>
      <c r="G31" s="948"/>
      <c r="H31" s="940" t="s">
        <v>1270</v>
      </c>
      <c r="I31" s="941"/>
      <c r="J31" s="942"/>
      <c r="K31" s="948" t="s">
        <v>1271</v>
      </c>
      <c r="L31" s="948"/>
      <c r="M31" s="948"/>
      <c r="N31" s="948"/>
      <c r="O31" s="948"/>
      <c r="P31" s="454" t="s">
        <v>1272</v>
      </c>
      <c r="Q31" s="519"/>
      <c r="R31" s="517"/>
      <c r="S31" s="984" t="s">
        <v>1273</v>
      </c>
      <c r="T31" s="985"/>
      <c r="U31" s="985"/>
      <c r="V31" s="985"/>
      <c r="W31" s="986"/>
      <c r="X31" s="654"/>
    </row>
    <row r="32" spans="2:34">
      <c r="D32" s="354" t="s">
        <v>655</v>
      </c>
      <c r="E32" s="354" t="s">
        <v>1274</v>
      </c>
      <c r="F32" s="354" t="s">
        <v>1275</v>
      </c>
      <c r="G32" s="354" t="s">
        <v>1276</v>
      </c>
      <c r="H32" s="354" t="s">
        <v>1277</v>
      </c>
      <c r="I32" s="354" t="s">
        <v>1278</v>
      </c>
      <c r="J32" s="453" t="s">
        <v>1279</v>
      </c>
      <c r="K32" s="354" t="s">
        <v>1280</v>
      </c>
      <c r="L32" s="354" t="s">
        <v>1281</v>
      </c>
      <c r="M32" s="354" t="s">
        <v>1282</v>
      </c>
      <c r="N32" s="354" t="s">
        <v>1283</v>
      </c>
      <c r="O32" s="354" t="s">
        <v>1237</v>
      </c>
      <c r="P32" s="455" t="s">
        <v>651</v>
      </c>
      <c r="Q32" s="519"/>
      <c r="R32" s="517"/>
      <c r="S32" s="520"/>
      <c r="T32" s="521" t="s">
        <v>1284</v>
      </c>
      <c r="U32" s="521" t="s">
        <v>1285</v>
      </c>
      <c r="V32" s="521" t="s">
        <v>659</v>
      </c>
      <c r="W32" s="522" t="s">
        <v>1286</v>
      </c>
      <c r="X32" s="654"/>
      <c r="AB32" s="655" t="s">
        <v>1277</v>
      </c>
      <c r="AC32" s="655" t="s">
        <v>1281</v>
      </c>
      <c r="AD32" s="655" t="s">
        <v>650</v>
      </c>
      <c r="AE32" s="655" t="s">
        <v>1287</v>
      </c>
      <c r="AF32" s="655" t="s">
        <v>648</v>
      </c>
      <c r="AG32" s="655" t="s">
        <v>1288</v>
      </c>
      <c r="AH32" s="655" t="s">
        <v>653</v>
      </c>
    </row>
    <row r="33" spans="2:34" ht="14.65" customHeight="1">
      <c r="B33" s="946" t="s">
        <v>206</v>
      </c>
      <c r="C33" s="946" t="s">
        <v>63</v>
      </c>
      <c r="D33" s="946" t="s">
        <v>1289</v>
      </c>
      <c r="E33" s="946" t="s">
        <v>1290</v>
      </c>
      <c r="F33" s="946" t="s">
        <v>1291</v>
      </c>
      <c r="G33" s="946" t="s">
        <v>1292</v>
      </c>
      <c r="H33" s="946" t="s">
        <v>1293</v>
      </c>
      <c r="I33" s="946" t="s">
        <v>1294</v>
      </c>
      <c r="J33" s="951" t="s">
        <v>1295</v>
      </c>
      <c r="K33" s="946" t="s">
        <v>1296</v>
      </c>
      <c r="L33" s="946" t="s">
        <v>1297</v>
      </c>
      <c r="M33" s="946" t="s">
        <v>1298</v>
      </c>
      <c r="N33" s="946" t="s">
        <v>1299</v>
      </c>
      <c r="O33" s="953" t="s">
        <v>1300</v>
      </c>
      <c r="P33" s="960" t="s">
        <v>1301</v>
      </c>
      <c r="Q33" s="523"/>
      <c r="R33" s="517"/>
      <c r="S33" s="946" t="s">
        <v>1290</v>
      </c>
      <c r="T33" s="962" t="s">
        <v>1302</v>
      </c>
      <c r="U33" s="962" t="s">
        <v>1303</v>
      </c>
      <c r="V33" s="962" t="s">
        <v>1304</v>
      </c>
      <c r="W33" s="962" t="s">
        <v>1305</v>
      </c>
      <c r="X33" s="656"/>
      <c r="AB33" s="957" t="s">
        <v>1306</v>
      </c>
      <c r="AC33" s="957" t="s">
        <v>1307</v>
      </c>
      <c r="AD33" s="957" t="s">
        <v>1308</v>
      </c>
      <c r="AE33" s="957" t="s">
        <v>1309</v>
      </c>
      <c r="AF33" s="957" t="s">
        <v>1310</v>
      </c>
      <c r="AG33" s="959" t="s">
        <v>1311</v>
      </c>
      <c r="AH33" s="959" t="s">
        <v>1312</v>
      </c>
    </row>
    <row r="34" spans="2:34" ht="46.5" customHeight="1" thickBot="1">
      <c r="B34" s="949"/>
      <c r="C34" s="949"/>
      <c r="D34" s="949"/>
      <c r="E34" s="949"/>
      <c r="F34" s="950"/>
      <c r="G34" s="950"/>
      <c r="H34" s="947"/>
      <c r="I34" s="947"/>
      <c r="J34" s="952"/>
      <c r="K34" s="947"/>
      <c r="L34" s="947"/>
      <c r="M34" s="947"/>
      <c r="N34" s="950"/>
      <c r="O34" s="954"/>
      <c r="P34" s="961"/>
      <c r="Q34" s="524"/>
      <c r="R34" s="517"/>
      <c r="S34" s="946"/>
      <c r="T34" s="949"/>
      <c r="U34" s="949"/>
      <c r="V34" s="949"/>
      <c r="W34" s="949"/>
      <c r="X34" s="657"/>
      <c r="AB34" s="958"/>
      <c r="AC34" s="958"/>
      <c r="AD34" s="958"/>
      <c r="AE34" s="958"/>
      <c r="AF34" s="958"/>
      <c r="AG34" s="958"/>
      <c r="AH34" s="958"/>
    </row>
    <row r="35" spans="2:34">
      <c r="B35" s="525"/>
      <c r="C35" s="525"/>
      <c r="D35" s="526"/>
      <c r="E35" s="527"/>
      <c r="F35" s="528"/>
      <c r="G35" s="529"/>
      <c r="H35" s="528"/>
      <c r="I35" s="530"/>
      <c r="J35" s="529"/>
      <c r="K35" s="528"/>
      <c r="L35" s="530"/>
      <c r="M35" s="530"/>
      <c r="N35" s="530"/>
      <c r="O35" s="529"/>
      <c r="P35" s="531" t="str">
        <f>IFERROR(AE35*AF35*AG35, "")</f>
        <v/>
      </c>
      <c r="Q35" s="516"/>
      <c r="R35" s="517"/>
      <c r="S35" s="532">
        <f>E35</f>
        <v>0</v>
      </c>
      <c r="T35" s="533"/>
      <c r="U35" s="533"/>
      <c r="V35" s="534"/>
      <c r="W35" s="535" t="str">
        <f>IFERROR((T35*U35)/V35, "")</f>
        <v/>
      </c>
      <c r="X35" s="552"/>
      <c r="AB35" s="658">
        <f>(F35-G35)</f>
        <v>0</v>
      </c>
      <c r="AC35" s="658">
        <f>(H35+I35+J35)</f>
        <v>0</v>
      </c>
      <c r="AD35" s="658">
        <f>(K35+L35+M35+N35+O35)</f>
        <v>0</v>
      </c>
      <c r="AE35" s="658">
        <f>(AB35+AC35-AD35)</f>
        <v>0</v>
      </c>
      <c r="AF35" s="659">
        <v>1E-3</v>
      </c>
      <c r="AG35" s="660" t="str">
        <f>IF(Parameters!$D$19="2007 IPCC Fourth Assessment", _xlfn.IFNA(VLOOKUP(E35, 'Emission Factors'!$B$1029:$H$1196, 4, FALSE), ""), _xlfn.IFNA(VLOOKUP(E35, 'Emission Factors'!$B$1029:$H$1196, 6, FALSE), ""))</f>
        <v/>
      </c>
      <c r="AH35" s="661" t="str">
        <f>IFERROR(AE35*AF35*AG35, "")</f>
        <v/>
      </c>
    </row>
    <row r="36" spans="2:34">
      <c r="B36" s="525"/>
      <c r="C36" s="525"/>
      <c r="D36" s="526"/>
      <c r="E36" s="527"/>
      <c r="F36" s="536"/>
      <c r="G36" s="537"/>
      <c r="H36" s="536"/>
      <c r="I36" s="526"/>
      <c r="J36" s="537"/>
      <c r="K36" s="536"/>
      <c r="L36" s="526"/>
      <c r="M36" s="526"/>
      <c r="N36" s="526"/>
      <c r="O36" s="537"/>
      <c r="P36" s="531" t="str">
        <f t="shared" ref="P36:P52" si="0">IFERROR(AE36*AF36*AG36, "")</f>
        <v/>
      </c>
      <c r="Q36" s="516"/>
      <c r="R36" s="517"/>
      <c r="S36" s="532">
        <f t="shared" ref="S36:S52" si="1">E36</f>
        <v>0</v>
      </c>
      <c r="T36" s="533"/>
      <c r="U36" s="533"/>
      <c r="V36" s="534"/>
      <c r="W36" s="535" t="str">
        <f t="shared" ref="W36:W52" si="2">IFERROR((T36*U36)/V36, "")</f>
        <v/>
      </c>
      <c r="X36" s="552"/>
      <c r="AB36" s="658">
        <f t="shared" ref="AB36:AB52" si="3">(F36-G36)</f>
        <v>0</v>
      </c>
      <c r="AC36" s="658">
        <f t="shared" ref="AC36:AC52" si="4">(H36+I36+J36)</f>
        <v>0</v>
      </c>
      <c r="AD36" s="658">
        <f t="shared" ref="AD36:AD52" si="5">(K36+L36+M36+N36+O36)</f>
        <v>0</v>
      </c>
      <c r="AE36" s="658">
        <f t="shared" ref="AE36:AE52" si="6">(AB36+AC36-AD36)</f>
        <v>0</v>
      </c>
      <c r="AF36" s="659">
        <v>1E-3</v>
      </c>
      <c r="AG36" s="660" t="str">
        <f>IF(Parameters!$D$19="2007 IPCC Fourth Assessment", _xlfn.IFNA(VLOOKUP(E36, 'Emission Factors'!$B$1029:$H$1196, 4, FALSE), ""), _xlfn.IFNA(VLOOKUP(E36, 'Emission Factors'!$B$1029:$H$1196, 6, FALSE), ""))</f>
        <v/>
      </c>
      <c r="AH36" s="661" t="str">
        <f t="shared" ref="AH36:AH52" si="7">IFERROR(AE36*AF36*AG36, "")</f>
        <v/>
      </c>
    </row>
    <row r="37" spans="2:34">
      <c r="B37" s="525"/>
      <c r="C37" s="525"/>
      <c r="D37" s="526"/>
      <c r="E37" s="527"/>
      <c r="F37" s="536"/>
      <c r="G37" s="537"/>
      <c r="H37" s="536"/>
      <c r="I37" s="526"/>
      <c r="J37" s="537"/>
      <c r="K37" s="536"/>
      <c r="L37" s="526"/>
      <c r="M37" s="526"/>
      <c r="N37" s="526"/>
      <c r="O37" s="537"/>
      <c r="P37" s="531" t="str">
        <f t="shared" si="0"/>
        <v/>
      </c>
      <c r="Q37" s="516"/>
      <c r="R37" s="517"/>
      <c r="S37" s="532">
        <f t="shared" si="1"/>
        <v>0</v>
      </c>
      <c r="T37" s="533"/>
      <c r="U37" s="533"/>
      <c r="V37" s="534"/>
      <c r="W37" s="535" t="str">
        <f t="shared" si="2"/>
        <v/>
      </c>
      <c r="X37" s="552"/>
      <c r="AB37" s="658">
        <f t="shared" si="3"/>
        <v>0</v>
      </c>
      <c r="AC37" s="658">
        <f t="shared" si="4"/>
        <v>0</v>
      </c>
      <c r="AD37" s="658">
        <f t="shared" si="5"/>
        <v>0</v>
      </c>
      <c r="AE37" s="658">
        <f t="shared" si="6"/>
        <v>0</v>
      </c>
      <c r="AF37" s="659">
        <v>1E-3</v>
      </c>
      <c r="AG37" s="660" t="str">
        <f>IF(Parameters!$D$19="2007 IPCC Fourth Assessment", _xlfn.IFNA(VLOOKUP(E37, 'Emission Factors'!$B$1029:$H$1196, 4, FALSE), ""), _xlfn.IFNA(VLOOKUP(E37, 'Emission Factors'!$B$1029:$H$1196, 6, FALSE), ""))</f>
        <v/>
      </c>
      <c r="AH37" s="661" t="str">
        <f t="shared" si="7"/>
        <v/>
      </c>
    </row>
    <row r="38" spans="2:34">
      <c r="B38" s="525"/>
      <c r="C38" s="525"/>
      <c r="D38" s="526"/>
      <c r="E38" s="527"/>
      <c r="F38" s="536"/>
      <c r="G38" s="537"/>
      <c r="H38" s="536"/>
      <c r="I38" s="526"/>
      <c r="J38" s="537"/>
      <c r="K38" s="536"/>
      <c r="L38" s="526"/>
      <c r="M38" s="526"/>
      <c r="N38" s="526"/>
      <c r="O38" s="537"/>
      <c r="P38" s="531" t="str">
        <f t="shared" si="0"/>
        <v/>
      </c>
      <c r="Q38" s="516"/>
      <c r="R38" s="517"/>
      <c r="S38" s="532">
        <f t="shared" si="1"/>
        <v>0</v>
      </c>
      <c r="T38" s="533"/>
      <c r="U38" s="533"/>
      <c r="V38" s="534"/>
      <c r="W38" s="535" t="str">
        <f t="shared" si="2"/>
        <v/>
      </c>
      <c r="X38" s="552"/>
      <c r="AB38" s="658">
        <f t="shared" si="3"/>
        <v>0</v>
      </c>
      <c r="AC38" s="658">
        <f t="shared" si="4"/>
        <v>0</v>
      </c>
      <c r="AD38" s="658">
        <f t="shared" si="5"/>
        <v>0</v>
      </c>
      <c r="AE38" s="658">
        <f t="shared" si="6"/>
        <v>0</v>
      </c>
      <c r="AF38" s="659">
        <v>1E-3</v>
      </c>
      <c r="AG38" s="660" t="str">
        <f>IF(Parameters!$D$19="2007 IPCC Fourth Assessment", _xlfn.IFNA(VLOOKUP(E38, 'Emission Factors'!$B$1029:$H$1196, 4, FALSE), ""), _xlfn.IFNA(VLOOKUP(E38, 'Emission Factors'!$B$1029:$H$1196, 6, FALSE), ""))</f>
        <v/>
      </c>
      <c r="AH38" s="661" t="str">
        <f t="shared" si="7"/>
        <v/>
      </c>
    </row>
    <row r="39" spans="2:34">
      <c r="B39" s="525"/>
      <c r="C39" s="525"/>
      <c r="D39" s="526"/>
      <c r="E39" s="527"/>
      <c r="F39" s="536"/>
      <c r="G39" s="537"/>
      <c r="H39" s="536"/>
      <c r="I39" s="526"/>
      <c r="J39" s="537"/>
      <c r="K39" s="536"/>
      <c r="L39" s="526"/>
      <c r="M39" s="526"/>
      <c r="N39" s="526"/>
      <c r="O39" s="537"/>
      <c r="P39" s="531" t="str">
        <f t="shared" si="0"/>
        <v/>
      </c>
      <c r="Q39" s="516"/>
      <c r="R39" s="517"/>
      <c r="S39" s="532">
        <f t="shared" si="1"/>
        <v>0</v>
      </c>
      <c r="T39" s="533"/>
      <c r="U39" s="533"/>
      <c r="V39" s="534"/>
      <c r="W39" s="535" t="str">
        <f t="shared" si="2"/>
        <v/>
      </c>
      <c r="X39" s="552"/>
      <c r="AB39" s="658">
        <f t="shared" si="3"/>
        <v>0</v>
      </c>
      <c r="AC39" s="658">
        <f t="shared" si="4"/>
        <v>0</v>
      </c>
      <c r="AD39" s="658">
        <f t="shared" si="5"/>
        <v>0</v>
      </c>
      <c r="AE39" s="658">
        <f t="shared" si="6"/>
        <v>0</v>
      </c>
      <c r="AF39" s="659">
        <v>1E-3</v>
      </c>
      <c r="AG39" s="660" t="str">
        <f>IF(Parameters!$D$19="2007 IPCC Fourth Assessment", _xlfn.IFNA(VLOOKUP(E39, 'Emission Factors'!$B$1029:$H$1196, 4, FALSE), ""), _xlfn.IFNA(VLOOKUP(E39, 'Emission Factors'!$B$1029:$H$1196, 6, FALSE), ""))</f>
        <v/>
      </c>
      <c r="AH39" s="661" t="str">
        <f t="shared" si="7"/>
        <v/>
      </c>
    </row>
    <row r="40" spans="2:34">
      <c r="B40" s="525"/>
      <c r="C40" s="525"/>
      <c r="D40" s="526"/>
      <c r="E40" s="527"/>
      <c r="F40" s="536"/>
      <c r="G40" s="537"/>
      <c r="H40" s="536"/>
      <c r="I40" s="526"/>
      <c r="J40" s="537"/>
      <c r="K40" s="536"/>
      <c r="L40" s="526"/>
      <c r="M40" s="526"/>
      <c r="N40" s="526"/>
      <c r="O40" s="537"/>
      <c r="P40" s="531" t="str">
        <f t="shared" si="0"/>
        <v/>
      </c>
      <c r="Q40" s="516"/>
      <c r="R40" s="517"/>
      <c r="S40" s="532">
        <f t="shared" si="1"/>
        <v>0</v>
      </c>
      <c r="T40" s="533"/>
      <c r="U40" s="533"/>
      <c r="V40" s="534"/>
      <c r="W40" s="535" t="str">
        <f t="shared" si="2"/>
        <v/>
      </c>
      <c r="X40" s="552"/>
      <c r="AB40" s="658">
        <f t="shared" si="3"/>
        <v>0</v>
      </c>
      <c r="AC40" s="658">
        <f t="shared" si="4"/>
        <v>0</v>
      </c>
      <c r="AD40" s="658">
        <f t="shared" si="5"/>
        <v>0</v>
      </c>
      <c r="AE40" s="658">
        <f t="shared" si="6"/>
        <v>0</v>
      </c>
      <c r="AF40" s="659">
        <v>1E-3</v>
      </c>
      <c r="AG40" s="660" t="str">
        <f>IF(Parameters!$D$19="2007 IPCC Fourth Assessment", _xlfn.IFNA(VLOOKUP(E40, 'Emission Factors'!$B$1029:$H$1196, 4, FALSE), ""), _xlfn.IFNA(VLOOKUP(E40, 'Emission Factors'!$B$1029:$H$1196, 6, FALSE), ""))</f>
        <v/>
      </c>
      <c r="AH40" s="661" t="str">
        <f t="shared" si="7"/>
        <v/>
      </c>
    </row>
    <row r="41" spans="2:34">
      <c r="B41" s="525"/>
      <c r="C41" s="525"/>
      <c r="D41" s="526"/>
      <c r="E41" s="527"/>
      <c r="F41" s="536"/>
      <c r="G41" s="537"/>
      <c r="H41" s="536"/>
      <c r="I41" s="526"/>
      <c r="J41" s="537"/>
      <c r="K41" s="536"/>
      <c r="L41" s="526"/>
      <c r="M41" s="526"/>
      <c r="N41" s="526"/>
      <c r="O41" s="537"/>
      <c r="P41" s="531" t="str">
        <f t="shared" si="0"/>
        <v/>
      </c>
      <c r="Q41" s="516"/>
      <c r="R41" s="517"/>
      <c r="S41" s="532">
        <f t="shared" si="1"/>
        <v>0</v>
      </c>
      <c r="T41" s="533"/>
      <c r="U41" s="533"/>
      <c r="V41" s="534"/>
      <c r="W41" s="535" t="str">
        <f t="shared" si="2"/>
        <v/>
      </c>
      <c r="X41" s="552"/>
      <c r="AB41" s="658">
        <f t="shared" si="3"/>
        <v>0</v>
      </c>
      <c r="AC41" s="658">
        <f t="shared" si="4"/>
        <v>0</v>
      </c>
      <c r="AD41" s="658">
        <f t="shared" si="5"/>
        <v>0</v>
      </c>
      <c r="AE41" s="658">
        <f t="shared" si="6"/>
        <v>0</v>
      </c>
      <c r="AF41" s="659">
        <v>1E-3</v>
      </c>
      <c r="AG41" s="660" t="str">
        <f>IF(Parameters!$D$19="2007 IPCC Fourth Assessment", _xlfn.IFNA(VLOOKUP(E41, 'Emission Factors'!$B$1029:$H$1196, 4, FALSE), ""), _xlfn.IFNA(VLOOKUP(E41, 'Emission Factors'!$B$1029:$H$1196, 6, FALSE), ""))</f>
        <v/>
      </c>
      <c r="AH41" s="661" t="str">
        <f t="shared" si="7"/>
        <v/>
      </c>
    </row>
    <row r="42" spans="2:34">
      <c r="B42" s="525"/>
      <c r="C42" s="525"/>
      <c r="D42" s="526"/>
      <c r="E42" s="527"/>
      <c r="F42" s="536"/>
      <c r="G42" s="537"/>
      <c r="H42" s="536"/>
      <c r="I42" s="526"/>
      <c r="J42" s="537"/>
      <c r="K42" s="536"/>
      <c r="L42" s="526"/>
      <c r="M42" s="526"/>
      <c r="N42" s="526"/>
      <c r="O42" s="537"/>
      <c r="P42" s="531" t="str">
        <f t="shared" si="0"/>
        <v/>
      </c>
      <c r="Q42" s="516"/>
      <c r="R42" s="517"/>
      <c r="S42" s="532">
        <f t="shared" si="1"/>
        <v>0</v>
      </c>
      <c r="T42" s="533"/>
      <c r="U42" s="533"/>
      <c r="V42" s="534"/>
      <c r="W42" s="535" t="str">
        <f t="shared" si="2"/>
        <v/>
      </c>
      <c r="X42" s="552"/>
      <c r="AB42" s="658">
        <f t="shared" si="3"/>
        <v>0</v>
      </c>
      <c r="AC42" s="658">
        <f t="shared" si="4"/>
        <v>0</v>
      </c>
      <c r="AD42" s="658">
        <f t="shared" si="5"/>
        <v>0</v>
      </c>
      <c r="AE42" s="658">
        <f t="shared" si="6"/>
        <v>0</v>
      </c>
      <c r="AF42" s="659">
        <v>1E-3</v>
      </c>
      <c r="AG42" s="660" t="str">
        <f>IF(Parameters!$D$19="2007 IPCC Fourth Assessment", _xlfn.IFNA(VLOOKUP(E42, 'Emission Factors'!$B$1029:$H$1196, 4, FALSE), ""), _xlfn.IFNA(VLOOKUP(E42, 'Emission Factors'!$B$1029:$H$1196, 6, FALSE), ""))</f>
        <v/>
      </c>
      <c r="AH42" s="661" t="str">
        <f t="shared" si="7"/>
        <v/>
      </c>
    </row>
    <row r="43" spans="2:34">
      <c r="B43" s="525"/>
      <c r="C43" s="525"/>
      <c r="D43" s="526"/>
      <c r="E43" s="527"/>
      <c r="F43" s="536"/>
      <c r="G43" s="537"/>
      <c r="H43" s="536"/>
      <c r="I43" s="526"/>
      <c r="J43" s="537"/>
      <c r="K43" s="536"/>
      <c r="L43" s="526"/>
      <c r="M43" s="526"/>
      <c r="N43" s="526"/>
      <c r="O43" s="537"/>
      <c r="P43" s="531" t="str">
        <f t="shared" si="0"/>
        <v/>
      </c>
      <c r="Q43" s="516"/>
      <c r="R43" s="517"/>
      <c r="S43" s="532">
        <f t="shared" si="1"/>
        <v>0</v>
      </c>
      <c r="T43" s="533"/>
      <c r="U43" s="533"/>
      <c r="V43" s="534"/>
      <c r="W43" s="535" t="str">
        <f t="shared" si="2"/>
        <v/>
      </c>
      <c r="X43" s="552"/>
      <c r="AB43" s="658">
        <f t="shared" si="3"/>
        <v>0</v>
      </c>
      <c r="AC43" s="658">
        <f t="shared" si="4"/>
        <v>0</v>
      </c>
      <c r="AD43" s="658">
        <f t="shared" si="5"/>
        <v>0</v>
      </c>
      <c r="AE43" s="658">
        <f t="shared" si="6"/>
        <v>0</v>
      </c>
      <c r="AF43" s="659">
        <v>1E-3</v>
      </c>
      <c r="AG43" s="660" t="str">
        <f>IF(Parameters!$D$19="2007 IPCC Fourth Assessment", _xlfn.IFNA(VLOOKUP(E43, 'Emission Factors'!$B$1029:$H$1196, 4, FALSE), ""), _xlfn.IFNA(VLOOKUP(E43, 'Emission Factors'!$B$1029:$H$1196, 6, FALSE), ""))</f>
        <v/>
      </c>
      <c r="AH43" s="661" t="str">
        <f t="shared" si="7"/>
        <v/>
      </c>
    </row>
    <row r="44" spans="2:34">
      <c r="B44" s="525"/>
      <c r="C44" s="525"/>
      <c r="D44" s="526"/>
      <c r="E44" s="527"/>
      <c r="F44" s="536"/>
      <c r="G44" s="537"/>
      <c r="H44" s="536"/>
      <c r="I44" s="526"/>
      <c r="J44" s="537"/>
      <c r="K44" s="536"/>
      <c r="L44" s="526"/>
      <c r="M44" s="526"/>
      <c r="N44" s="526"/>
      <c r="O44" s="537"/>
      <c r="P44" s="531" t="str">
        <f t="shared" si="0"/>
        <v/>
      </c>
      <c r="Q44" s="516"/>
      <c r="R44" s="517"/>
      <c r="S44" s="532">
        <f t="shared" si="1"/>
        <v>0</v>
      </c>
      <c r="T44" s="533"/>
      <c r="U44" s="533"/>
      <c r="V44" s="534"/>
      <c r="W44" s="535" t="str">
        <f t="shared" si="2"/>
        <v/>
      </c>
      <c r="X44" s="552"/>
      <c r="AB44" s="658">
        <f t="shared" si="3"/>
        <v>0</v>
      </c>
      <c r="AC44" s="658">
        <f t="shared" si="4"/>
        <v>0</v>
      </c>
      <c r="AD44" s="658">
        <f t="shared" si="5"/>
        <v>0</v>
      </c>
      <c r="AE44" s="658">
        <f t="shared" si="6"/>
        <v>0</v>
      </c>
      <c r="AF44" s="659">
        <v>1E-3</v>
      </c>
      <c r="AG44" s="660" t="str">
        <f>IF(Parameters!$D$19="2007 IPCC Fourth Assessment", _xlfn.IFNA(VLOOKUP(E44, 'Emission Factors'!$B$1029:$H$1196, 4, FALSE), ""), _xlfn.IFNA(VLOOKUP(E44, 'Emission Factors'!$B$1029:$H$1196, 6, FALSE), ""))</f>
        <v/>
      </c>
      <c r="AH44" s="661" t="str">
        <f t="shared" si="7"/>
        <v/>
      </c>
    </row>
    <row r="45" spans="2:34">
      <c r="B45" s="525"/>
      <c r="C45" s="525"/>
      <c r="D45" s="526"/>
      <c r="E45" s="527"/>
      <c r="F45" s="536"/>
      <c r="G45" s="537"/>
      <c r="H45" s="536"/>
      <c r="I45" s="526"/>
      <c r="J45" s="537"/>
      <c r="K45" s="536"/>
      <c r="L45" s="526"/>
      <c r="M45" s="526"/>
      <c r="N45" s="526"/>
      <c r="O45" s="537"/>
      <c r="P45" s="531" t="str">
        <f t="shared" si="0"/>
        <v/>
      </c>
      <c r="Q45" s="516"/>
      <c r="R45" s="517"/>
      <c r="S45" s="532">
        <f t="shared" si="1"/>
        <v>0</v>
      </c>
      <c r="T45" s="533"/>
      <c r="U45" s="533"/>
      <c r="V45" s="534"/>
      <c r="W45" s="535" t="str">
        <f t="shared" si="2"/>
        <v/>
      </c>
      <c r="X45" s="552"/>
      <c r="AB45" s="658">
        <f t="shared" si="3"/>
        <v>0</v>
      </c>
      <c r="AC45" s="658">
        <f t="shared" si="4"/>
        <v>0</v>
      </c>
      <c r="AD45" s="658">
        <f t="shared" si="5"/>
        <v>0</v>
      </c>
      <c r="AE45" s="658">
        <f t="shared" si="6"/>
        <v>0</v>
      </c>
      <c r="AF45" s="659">
        <v>1E-3</v>
      </c>
      <c r="AG45" s="660" t="str">
        <f>IF(Parameters!$D$19="2007 IPCC Fourth Assessment", _xlfn.IFNA(VLOOKUP(E45, 'Emission Factors'!$B$1029:$H$1196, 4, FALSE), ""), _xlfn.IFNA(VLOOKUP(E45, 'Emission Factors'!$B$1029:$H$1196, 6, FALSE), ""))</f>
        <v/>
      </c>
      <c r="AH45" s="661" t="str">
        <f t="shared" si="7"/>
        <v/>
      </c>
    </row>
    <row r="46" spans="2:34">
      <c r="B46" s="525"/>
      <c r="C46" s="525"/>
      <c r="D46" s="315"/>
      <c r="E46" s="527"/>
      <c r="F46" s="536"/>
      <c r="G46" s="537"/>
      <c r="H46" s="536"/>
      <c r="I46" s="526"/>
      <c r="J46" s="537"/>
      <c r="K46" s="536"/>
      <c r="L46" s="526"/>
      <c r="M46" s="526"/>
      <c r="N46" s="526"/>
      <c r="O46" s="537"/>
      <c r="P46" s="531" t="str">
        <f t="shared" si="0"/>
        <v/>
      </c>
      <c r="Q46" s="516"/>
      <c r="R46" s="517"/>
      <c r="S46" s="532">
        <f t="shared" si="1"/>
        <v>0</v>
      </c>
      <c r="T46" s="533"/>
      <c r="U46" s="533"/>
      <c r="V46" s="534"/>
      <c r="W46" s="535" t="str">
        <f t="shared" si="2"/>
        <v/>
      </c>
      <c r="X46" s="552"/>
      <c r="AB46" s="658">
        <f t="shared" si="3"/>
        <v>0</v>
      </c>
      <c r="AC46" s="658">
        <f t="shared" si="4"/>
        <v>0</v>
      </c>
      <c r="AD46" s="658">
        <f t="shared" si="5"/>
        <v>0</v>
      </c>
      <c r="AE46" s="658">
        <f t="shared" si="6"/>
        <v>0</v>
      </c>
      <c r="AF46" s="659">
        <v>1E-3</v>
      </c>
      <c r="AG46" s="660" t="str">
        <f>IF(Parameters!$D$19="2007 IPCC Fourth Assessment", _xlfn.IFNA(VLOOKUP(E46, 'Emission Factors'!$B$1029:$H$1196, 4, FALSE), ""), _xlfn.IFNA(VLOOKUP(E46, 'Emission Factors'!$B$1029:$H$1196, 6, FALSE), ""))</f>
        <v/>
      </c>
      <c r="AH46" s="661" t="str">
        <f t="shared" si="7"/>
        <v/>
      </c>
    </row>
    <row r="47" spans="2:34">
      <c r="B47" s="525"/>
      <c r="C47" s="525"/>
      <c r="D47" s="526"/>
      <c r="E47" s="527"/>
      <c r="F47" s="536"/>
      <c r="G47" s="537"/>
      <c r="H47" s="536"/>
      <c r="I47" s="526"/>
      <c r="J47" s="537"/>
      <c r="K47" s="536"/>
      <c r="L47" s="526"/>
      <c r="M47" s="526"/>
      <c r="N47" s="526"/>
      <c r="O47" s="537"/>
      <c r="P47" s="531" t="str">
        <f t="shared" si="0"/>
        <v/>
      </c>
      <c r="Q47" s="516"/>
      <c r="R47" s="517"/>
      <c r="S47" s="532">
        <f t="shared" si="1"/>
        <v>0</v>
      </c>
      <c r="T47" s="533"/>
      <c r="U47" s="533"/>
      <c r="V47" s="534"/>
      <c r="W47" s="535" t="str">
        <f t="shared" si="2"/>
        <v/>
      </c>
      <c r="X47" s="552"/>
      <c r="AB47" s="658">
        <f t="shared" si="3"/>
        <v>0</v>
      </c>
      <c r="AC47" s="658">
        <f t="shared" si="4"/>
        <v>0</v>
      </c>
      <c r="AD47" s="658">
        <f t="shared" si="5"/>
        <v>0</v>
      </c>
      <c r="AE47" s="658">
        <f t="shared" si="6"/>
        <v>0</v>
      </c>
      <c r="AF47" s="659">
        <v>1E-3</v>
      </c>
      <c r="AG47" s="660" t="str">
        <f>IF(Parameters!$D$19="2007 IPCC Fourth Assessment", _xlfn.IFNA(VLOOKUP(E47, 'Emission Factors'!$B$1029:$H$1196, 4, FALSE), ""), _xlfn.IFNA(VLOOKUP(E47, 'Emission Factors'!$B$1029:$H$1196, 6, FALSE), ""))</f>
        <v/>
      </c>
      <c r="AH47" s="661" t="str">
        <f t="shared" si="7"/>
        <v/>
      </c>
    </row>
    <row r="48" spans="2:34">
      <c r="B48" s="525"/>
      <c r="C48" s="525"/>
      <c r="D48" s="526"/>
      <c r="E48" s="527"/>
      <c r="F48" s="536"/>
      <c r="G48" s="537"/>
      <c r="H48" s="536"/>
      <c r="I48" s="526"/>
      <c r="J48" s="537"/>
      <c r="K48" s="536"/>
      <c r="L48" s="526"/>
      <c r="M48" s="526"/>
      <c r="N48" s="526"/>
      <c r="O48" s="537"/>
      <c r="P48" s="531" t="str">
        <f t="shared" si="0"/>
        <v/>
      </c>
      <c r="Q48" s="516"/>
      <c r="R48" s="517"/>
      <c r="S48" s="532">
        <f t="shared" si="1"/>
        <v>0</v>
      </c>
      <c r="T48" s="533"/>
      <c r="U48" s="533"/>
      <c r="V48" s="534"/>
      <c r="W48" s="535" t="str">
        <f t="shared" si="2"/>
        <v/>
      </c>
      <c r="X48" s="552"/>
      <c r="AB48" s="658">
        <f t="shared" si="3"/>
        <v>0</v>
      </c>
      <c r="AC48" s="658">
        <f t="shared" si="4"/>
        <v>0</v>
      </c>
      <c r="AD48" s="658">
        <f t="shared" si="5"/>
        <v>0</v>
      </c>
      <c r="AE48" s="658">
        <f t="shared" si="6"/>
        <v>0</v>
      </c>
      <c r="AF48" s="659">
        <v>1E-3</v>
      </c>
      <c r="AG48" s="660" t="str">
        <f>IF(Parameters!$D$19="2007 IPCC Fourth Assessment", _xlfn.IFNA(VLOOKUP(E48, 'Emission Factors'!$B$1029:$H$1196, 4, FALSE), ""), _xlfn.IFNA(VLOOKUP(E48, 'Emission Factors'!$B$1029:$H$1196, 6, FALSE), ""))</f>
        <v/>
      </c>
      <c r="AH48" s="661" t="str">
        <f t="shared" si="7"/>
        <v/>
      </c>
    </row>
    <row r="49" spans="2:34">
      <c r="B49" s="525"/>
      <c r="C49" s="525"/>
      <c r="D49" s="526"/>
      <c r="E49" s="527"/>
      <c r="F49" s="536"/>
      <c r="G49" s="537"/>
      <c r="H49" s="536"/>
      <c r="I49" s="526"/>
      <c r="J49" s="537"/>
      <c r="K49" s="536"/>
      <c r="L49" s="526"/>
      <c r="M49" s="526"/>
      <c r="N49" s="526"/>
      <c r="O49" s="537"/>
      <c r="P49" s="531" t="str">
        <f t="shared" si="0"/>
        <v/>
      </c>
      <c r="Q49" s="516"/>
      <c r="R49" s="517"/>
      <c r="S49" s="532">
        <f t="shared" si="1"/>
        <v>0</v>
      </c>
      <c r="T49" s="533"/>
      <c r="U49" s="533"/>
      <c r="V49" s="534"/>
      <c r="W49" s="535" t="str">
        <f t="shared" si="2"/>
        <v/>
      </c>
      <c r="X49" s="552"/>
      <c r="AB49" s="658">
        <f t="shared" si="3"/>
        <v>0</v>
      </c>
      <c r="AC49" s="658">
        <f t="shared" si="4"/>
        <v>0</v>
      </c>
      <c r="AD49" s="658">
        <f t="shared" si="5"/>
        <v>0</v>
      </c>
      <c r="AE49" s="658">
        <f t="shared" si="6"/>
        <v>0</v>
      </c>
      <c r="AF49" s="659">
        <v>1E-3</v>
      </c>
      <c r="AG49" s="660" t="str">
        <f>IF(Parameters!$D$19="2007 IPCC Fourth Assessment", _xlfn.IFNA(VLOOKUP(E49, 'Emission Factors'!$B$1029:$H$1196, 4, FALSE), ""), _xlfn.IFNA(VLOOKUP(E49, 'Emission Factors'!$B$1029:$H$1196, 6, FALSE), ""))</f>
        <v/>
      </c>
      <c r="AH49" s="661" t="str">
        <f t="shared" si="7"/>
        <v/>
      </c>
    </row>
    <row r="50" spans="2:34">
      <c r="B50" s="525"/>
      <c r="C50" s="525"/>
      <c r="D50" s="526"/>
      <c r="E50" s="527"/>
      <c r="F50" s="536"/>
      <c r="G50" s="537"/>
      <c r="H50" s="536"/>
      <c r="I50" s="526"/>
      <c r="J50" s="537"/>
      <c r="K50" s="536"/>
      <c r="L50" s="526"/>
      <c r="M50" s="526"/>
      <c r="N50" s="526"/>
      <c r="O50" s="537"/>
      <c r="P50" s="531" t="str">
        <f t="shared" si="0"/>
        <v/>
      </c>
      <c r="Q50" s="516"/>
      <c r="R50" s="517"/>
      <c r="S50" s="532">
        <f t="shared" si="1"/>
        <v>0</v>
      </c>
      <c r="T50" s="533"/>
      <c r="U50" s="533"/>
      <c r="V50" s="534"/>
      <c r="W50" s="535" t="str">
        <f t="shared" si="2"/>
        <v/>
      </c>
      <c r="X50" s="552"/>
      <c r="AB50" s="658">
        <f t="shared" si="3"/>
        <v>0</v>
      </c>
      <c r="AC50" s="658">
        <f t="shared" si="4"/>
        <v>0</v>
      </c>
      <c r="AD50" s="658">
        <f t="shared" si="5"/>
        <v>0</v>
      </c>
      <c r="AE50" s="658">
        <f t="shared" si="6"/>
        <v>0</v>
      </c>
      <c r="AF50" s="659">
        <v>1E-3</v>
      </c>
      <c r="AG50" s="660" t="str">
        <f>IF(Parameters!$D$19="2007 IPCC Fourth Assessment", _xlfn.IFNA(VLOOKUP(E50, 'Emission Factors'!$B$1029:$H$1196, 4, FALSE), ""), _xlfn.IFNA(VLOOKUP(E50, 'Emission Factors'!$B$1029:$H$1196, 6, FALSE), ""))</f>
        <v/>
      </c>
      <c r="AH50" s="661" t="str">
        <f t="shared" si="7"/>
        <v/>
      </c>
    </row>
    <row r="51" spans="2:34">
      <c r="B51" s="525"/>
      <c r="C51" s="525"/>
      <c r="D51" s="526"/>
      <c r="E51" s="527"/>
      <c r="F51" s="536"/>
      <c r="G51" s="537"/>
      <c r="H51" s="536"/>
      <c r="I51" s="526"/>
      <c r="J51" s="537"/>
      <c r="K51" s="536"/>
      <c r="L51" s="526"/>
      <c r="M51" s="526"/>
      <c r="N51" s="526"/>
      <c r="O51" s="537"/>
      <c r="P51" s="531" t="str">
        <f t="shared" si="0"/>
        <v/>
      </c>
      <c r="Q51" s="516"/>
      <c r="R51" s="517"/>
      <c r="S51" s="532">
        <f t="shared" si="1"/>
        <v>0</v>
      </c>
      <c r="T51" s="533"/>
      <c r="U51" s="533"/>
      <c r="V51" s="534"/>
      <c r="W51" s="535" t="str">
        <f t="shared" si="2"/>
        <v/>
      </c>
      <c r="X51" s="552"/>
      <c r="AB51" s="658">
        <f t="shared" si="3"/>
        <v>0</v>
      </c>
      <c r="AC51" s="658">
        <f t="shared" si="4"/>
        <v>0</v>
      </c>
      <c r="AD51" s="658">
        <f t="shared" si="5"/>
        <v>0</v>
      </c>
      <c r="AE51" s="658">
        <f t="shared" si="6"/>
        <v>0</v>
      </c>
      <c r="AF51" s="659">
        <v>1E-3</v>
      </c>
      <c r="AG51" s="660" t="str">
        <f>IF(Parameters!$D$19="2007 IPCC Fourth Assessment", _xlfn.IFNA(VLOOKUP(E51, 'Emission Factors'!$B$1029:$H$1196, 4, FALSE), ""), _xlfn.IFNA(VLOOKUP(E51, 'Emission Factors'!$B$1029:$H$1196, 6, FALSE), ""))</f>
        <v/>
      </c>
      <c r="AH51" s="661" t="str">
        <f t="shared" si="7"/>
        <v/>
      </c>
    </row>
    <row r="52" spans="2:34" ht="15.75" thickBot="1">
      <c r="B52" s="525"/>
      <c r="C52" s="525"/>
      <c r="D52" s="538"/>
      <c r="E52" s="527"/>
      <c r="F52" s="539"/>
      <c r="G52" s="540"/>
      <c r="H52" s="539"/>
      <c r="I52" s="541"/>
      <c r="J52" s="540"/>
      <c r="K52" s="539"/>
      <c r="L52" s="541"/>
      <c r="M52" s="541"/>
      <c r="N52" s="541"/>
      <c r="O52" s="540"/>
      <c r="P52" s="531" t="str">
        <f t="shared" si="0"/>
        <v/>
      </c>
      <c r="Q52" s="516"/>
      <c r="R52" s="517"/>
      <c r="S52" s="542">
        <f t="shared" si="1"/>
        <v>0</v>
      </c>
      <c r="T52" s="543"/>
      <c r="U52" s="543"/>
      <c r="V52" s="544"/>
      <c r="W52" s="535" t="str">
        <f t="shared" si="2"/>
        <v/>
      </c>
      <c r="X52" s="552"/>
      <c r="AB52" s="658">
        <f t="shared" si="3"/>
        <v>0</v>
      </c>
      <c r="AC52" s="658">
        <f t="shared" si="4"/>
        <v>0</v>
      </c>
      <c r="AD52" s="658">
        <f t="shared" si="5"/>
        <v>0</v>
      </c>
      <c r="AE52" s="658">
        <f t="shared" si="6"/>
        <v>0</v>
      </c>
      <c r="AF52" s="659">
        <v>1E-3</v>
      </c>
      <c r="AG52" s="660" t="str">
        <f>IF(Parameters!$D$19="2007 IPCC Fourth Assessment", _xlfn.IFNA(VLOOKUP(E52, 'Emission Factors'!$B$1029:$H$1196, 4, FALSE), ""), _xlfn.IFNA(VLOOKUP(E52, 'Emission Factors'!$B$1029:$H$1196, 6, FALSE), ""))</f>
        <v/>
      </c>
      <c r="AH52" s="661" t="str">
        <f t="shared" si="7"/>
        <v/>
      </c>
    </row>
    <row r="53" spans="2:34" ht="15.75" thickBot="1">
      <c r="B53" s="545"/>
      <c r="C53" s="545"/>
      <c r="D53" s="546" t="s">
        <v>1313</v>
      </c>
      <c r="E53" s="349"/>
      <c r="F53" s="349"/>
      <c r="G53" s="349"/>
      <c r="H53" s="349"/>
      <c r="I53" s="349"/>
      <c r="J53" s="349"/>
      <c r="K53" s="349"/>
      <c r="L53" s="349"/>
      <c r="M53" s="547" t="s">
        <v>1314</v>
      </c>
      <c r="N53" s="547"/>
      <c r="O53" s="352"/>
      <c r="P53" s="548">
        <f>SUM(P35:P52)</f>
        <v>0</v>
      </c>
      <c r="Q53" s="516"/>
      <c r="R53" s="517"/>
      <c r="S53" s="549"/>
      <c r="T53" s="549"/>
      <c r="U53" s="549"/>
      <c r="V53" s="549"/>
      <c r="W53" s="549"/>
      <c r="X53" s="552"/>
      <c r="AF53" s="662" t="s">
        <v>1315</v>
      </c>
      <c r="AG53" s="663"/>
      <c r="AH53" s="664"/>
    </row>
    <row r="54" spans="2:34">
      <c r="B54" s="546"/>
      <c r="C54" s="546"/>
      <c r="D54" s="550" t="s">
        <v>1316</v>
      </c>
      <c r="E54" s="551"/>
      <c r="F54" s="551"/>
      <c r="G54" s="551"/>
      <c r="H54" s="551"/>
      <c r="I54" s="551"/>
      <c r="J54" s="551"/>
      <c r="K54" s="551"/>
      <c r="L54" s="551"/>
      <c r="M54" s="551"/>
      <c r="N54" s="551"/>
      <c r="O54" s="551"/>
      <c r="P54" s="551"/>
      <c r="Q54" s="552"/>
      <c r="R54" s="517"/>
      <c r="S54" s="517"/>
      <c r="T54" s="517"/>
      <c r="U54" s="517"/>
      <c r="V54" s="517"/>
      <c r="W54" s="517"/>
      <c r="X54" s="552"/>
    </row>
    <row r="55" spans="2:34">
      <c r="B55" s="546"/>
      <c r="C55" s="546"/>
      <c r="D55" s="549"/>
      <c r="E55" s="549"/>
      <c r="F55" s="549"/>
      <c r="G55" s="549"/>
      <c r="H55" s="549"/>
      <c r="I55" s="549"/>
      <c r="J55" s="549"/>
      <c r="K55" s="549"/>
      <c r="L55" s="549"/>
      <c r="M55" s="549"/>
      <c r="N55" s="549"/>
      <c r="O55" s="549"/>
      <c r="P55" s="549"/>
      <c r="Q55" s="552"/>
      <c r="R55" s="549"/>
      <c r="S55" s="549"/>
      <c r="T55" s="549"/>
      <c r="U55" s="549"/>
      <c r="V55" s="549"/>
      <c r="W55" s="549"/>
      <c r="X55" s="552"/>
    </row>
    <row r="56" spans="2:34" hidden="1"/>
    <row r="57" spans="2:34" ht="15.75" hidden="1">
      <c r="D57" s="553"/>
      <c r="E57" s="554"/>
      <c r="F57" s="555"/>
      <c r="G57" s="556"/>
      <c r="H57" s="556"/>
      <c r="I57" s="554"/>
      <c r="J57" s="554"/>
      <c r="K57" s="554"/>
      <c r="L57" s="554"/>
      <c r="M57" s="554"/>
      <c r="N57" s="554"/>
      <c r="O57" s="554"/>
      <c r="P57" s="554"/>
      <c r="Q57" s="554"/>
      <c r="R57" s="554"/>
      <c r="S57" s="554"/>
      <c r="T57" s="554"/>
      <c r="U57" s="554"/>
      <c r="V57" s="557"/>
    </row>
    <row r="58" spans="2:34" ht="15.75" hidden="1">
      <c r="D58" s="558" t="s">
        <v>1317</v>
      </c>
      <c r="E58" s="559"/>
      <c r="F58" s="559"/>
      <c r="G58" s="559"/>
      <c r="H58" s="560"/>
      <c r="I58" s="560"/>
      <c r="J58" s="560"/>
      <c r="K58" s="560"/>
      <c r="L58" s="560"/>
      <c r="M58" s="560"/>
      <c r="N58" s="560"/>
      <c r="O58" s="560"/>
      <c r="P58" s="560"/>
      <c r="Q58" s="560"/>
      <c r="R58" s="560"/>
      <c r="S58" s="560"/>
      <c r="T58" s="560"/>
      <c r="U58" s="560"/>
      <c r="V58" s="561"/>
    </row>
    <row r="59" spans="2:34" ht="15.75" hidden="1">
      <c r="D59" s="562"/>
      <c r="E59" s="563"/>
      <c r="F59" s="563"/>
      <c r="G59" s="563"/>
      <c r="H59" s="564"/>
      <c r="I59" s="564"/>
      <c r="J59" s="564"/>
      <c r="K59" s="564"/>
      <c r="L59" s="564"/>
      <c r="M59" s="564"/>
      <c r="N59" s="564"/>
      <c r="O59" s="564"/>
      <c r="P59" s="564"/>
      <c r="Q59" s="564"/>
      <c r="R59" s="564"/>
      <c r="S59" s="564"/>
      <c r="T59" s="564"/>
      <c r="U59" s="564"/>
      <c r="V59" s="561"/>
    </row>
    <row r="60" spans="2:34" hidden="1">
      <c r="D60" s="565" t="s">
        <v>1251</v>
      </c>
      <c r="E60" s="565" t="s">
        <v>1252</v>
      </c>
      <c r="F60" s="565" t="s">
        <v>1253</v>
      </c>
      <c r="G60" s="565" t="s">
        <v>1254</v>
      </c>
      <c r="H60" s="565" t="s">
        <v>1255</v>
      </c>
      <c r="I60" s="565" t="s">
        <v>1256</v>
      </c>
      <c r="J60" s="565" t="s">
        <v>1257</v>
      </c>
      <c r="K60" s="565" t="s">
        <v>1258</v>
      </c>
      <c r="L60" s="565" t="s">
        <v>1259</v>
      </c>
      <c r="M60" s="565" t="s">
        <v>1260</v>
      </c>
      <c r="N60" s="565" t="s">
        <v>1261</v>
      </c>
      <c r="O60" s="565" t="s">
        <v>1262</v>
      </c>
      <c r="P60" s="565" t="s">
        <v>1263</v>
      </c>
      <c r="Q60" s="565" t="s">
        <v>1318</v>
      </c>
      <c r="R60" s="565" t="s">
        <v>1319</v>
      </c>
      <c r="S60" s="565" t="s">
        <v>1320</v>
      </c>
      <c r="T60" s="565" t="s">
        <v>1321</v>
      </c>
      <c r="U60" s="566" t="s">
        <v>1322</v>
      </c>
      <c r="V60" s="567"/>
    </row>
    <row r="61" spans="2:34" ht="14.65" hidden="1" customHeight="1">
      <c r="D61" s="955" t="s">
        <v>1268</v>
      </c>
      <c r="E61" s="955"/>
      <c r="F61" s="955" t="s">
        <v>1269</v>
      </c>
      <c r="G61" s="955"/>
      <c r="H61" s="955" t="s">
        <v>1270</v>
      </c>
      <c r="I61" s="955"/>
      <c r="J61" s="955"/>
      <c r="K61" s="955"/>
      <c r="L61" s="955" t="s">
        <v>1271</v>
      </c>
      <c r="M61" s="955"/>
      <c r="N61" s="955"/>
      <c r="O61" s="955"/>
      <c r="P61" s="955"/>
      <c r="Q61" s="955" t="s">
        <v>1323</v>
      </c>
      <c r="R61" s="955"/>
      <c r="S61" s="955"/>
      <c r="T61" s="955"/>
      <c r="U61" s="568"/>
      <c r="V61" s="569"/>
    </row>
    <row r="62" spans="2:34" hidden="1">
      <c r="D62" s="570" t="s">
        <v>655</v>
      </c>
      <c r="E62" s="570" t="s">
        <v>1274</v>
      </c>
      <c r="F62" s="570" t="s">
        <v>1275</v>
      </c>
      <c r="G62" s="570" t="s">
        <v>1276</v>
      </c>
      <c r="H62" s="570" t="s">
        <v>1277</v>
      </c>
      <c r="I62" s="570" t="s">
        <v>1278</v>
      </c>
      <c r="J62" s="570" t="s">
        <v>1279</v>
      </c>
      <c r="K62" s="570" t="s">
        <v>1280</v>
      </c>
      <c r="L62" s="570" t="s">
        <v>1281</v>
      </c>
      <c r="M62" s="570" t="s">
        <v>1282</v>
      </c>
      <c r="N62" s="570" t="s">
        <v>1283</v>
      </c>
      <c r="O62" s="570" t="s">
        <v>1237</v>
      </c>
      <c r="P62" s="570" t="s">
        <v>651</v>
      </c>
      <c r="Q62" s="570" t="s">
        <v>1324</v>
      </c>
      <c r="R62" s="570" t="s">
        <v>650</v>
      </c>
      <c r="S62" s="570" t="s">
        <v>1287</v>
      </c>
      <c r="T62" s="570" t="s">
        <v>648</v>
      </c>
      <c r="U62" s="571" t="s">
        <v>1288</v>
      </c>
      <c r="V62" s="569"/>
      <c r="Z62" s="665" t="s">
        <v>1277</v>
      </c>
      <c r="AA62" s="665" t="s">
        <v>1282</v>
      </c>
      <c r="AB62" s="665" t="s">
        <v>1287</v>
      </c>
      <c r="AC62" s="665" t="s">
        <v>1325</v>
      </c>
      <c r="AD62" s="665" t="s">
        <v>1326</v>
      </c>
      <c r="AE62" s="665" t="s">
        <v>1284</v>
      </c>
      <c r="AF62" s="665" t="s">
        <v>1285</v>
      </c>
      <c r="AG62" s="665" t="s">
        <v>659</v>
      </c>
    </row>
    <row r="63" spans="2:34" ht="14.65" hidden="1" customHeight="1">
      <c r="B63" s="946" t="s">
        <v>206</v>
      </c>
      <c r="C63" s="946" t="s">
        <v>63</v>
      </c>
      <c r="D63" s="955" t="s">
        <v>1289</v>
      </c>
      <c r="E63" s="955" t="s">
        <v>1290</v>
      </c>
      <c r="F63" s="955" t="s">
        <v>1291</v>
      </c>
      <c r="G63" s="955" t="s">
        <v>1292</v>
      </c>
      <c r="H63" s="955" t="s">
        <v>1327</v>
      </c>
      <c r="I63" s="981" t="s">
        <v>1328</v>
      </c>
      <c r="J63" s="981" t="s">
        <v>1329</v>
      </c>
      <c r="K63" s="955" t="s">
        <v>1295</v>
      </c>
      <c r="L63" s="955" t="s">
        <v>1330</v>
      </c>
      <c r="M63" s="955" t="s">
        <v>1331</v>
      </c>
      <c r="N63" s="955" t="s">
        <v>1332</v>
      </c>
      <c r="O63" s="955" t="s">
        <v>1299</v>
      </c>
      <c r="P63" s="955" t="s">
        <v>1300</v>
      </c>
      <c r="Q63" s="955" t="s">
        <v>1333</v>
      </c>
      <c r="R63" s="955" t="s">
        <v>1334</v>
      </c>
      <c r="S63" s="955" t="s">
        <v>1335</v>
      </c>
      <c r="T63" s="955" t="s">
        <v>1336</v>
      </c>
      <c r="U63" s="969" t="s">
        <v>1301</v>
      </c>
      <c r="V63" s="572"/>
      <c r="Z63" s="963" t="s">
        <v>1337</v>
      </c>
      <c r="AA63" s="963" t="s">
        <v>1338</v>
      </c>
      <c r="AB63" s="963" t="s">
        <v>1339</v>
      </c>
      <c r="AC63" s="963" t="s">
        <v>1340</v>
      </c>
      <c r="AD63" s="963" t="s">
        <v>1341</v>
      </c>
      <c r="AE63" s="963" t="s">
        <v>1310</v>
      </c>
      <c r="AF63" s="973" t="s">
        <v>1342</v>
      </c>
      <c r="AG63" s="973" t="s">
        <v>1343</v>
      </c>
    </row>
    <row r="64" spans="2:34" ht="51.4" hidden="1" customHeight="1" thickBot="1">
      <c r="B64" s="949"/>
      <c r="C64" s="949"/>
      <c r="D64" s="968"/>
      <c r="E64" s="968"/>
      <c r="F64" s="956"/>
      <c r="G64" s="956"/>
      <c r="H64" s="956"/>
      <c r="I64" s="982"/>
      <c r="J64" s="982"/>
      <c r="K64" s="956"/>
      <c r="L64" s="956"/>
      <c r="M64" s="956"/>
      <c r="N64" s="956"/>
      <c r="O64" s="956"/>
      <c r="P64" s="956"/>
      <c r="Q64" s="968"/>
      <c r="R64" s="968"/>
      <c r="S64" s="968"/>
      <c r="T64" s="968"/>
      <c r="U64" s="970"/>
      <c r="V64" s="573"/>
      <c r="Z64" s="964"/>
      <c r="AA64" s="964"/>
      <c r="AB64" s="964"/>
      <c r="AC64" s="964"/>
      <c r="AD64" s="964"/>
      <c r="AE64" s="964"/>
      <c r="AF64" s="964"/>
      <c r="AG64" s="964"/>
    </row>
    <row r="65" spans="2:33" hidden="1">
      <c r="B65" s="525">
        <v>2018</v>
      </c>
      <c r="C65" s="574"/>
      <c r="D65" s="575"/>
      <c r="E65" s="527"/>
      <c r="F65" s="576"/>
      <c r="G65" s="577"/>
      <c r="H65" s="576"/>
      <c r="I65" s="578"/>
      <c r="J65" s="578"/>
      <c r="K65" s="577"/>
      <c r="L65" s="576"/>
      <c r="M65" s="578"/>
      <c r="N65" s="578"/>
      <c r="O65" s="578"/>
      <c r="P65" s="577"/>
      <c r="Q65" s="579"/>
      <c r="R65" s="575"/>
      <c r="S65" s="575"/>
      <c r="T65" s="575"/>
      <c r="U65" s="580" t="str">
        <f>IFERROR(AD65*AE65*AF65, "")</f>
        <v/>
      </c>
      <c r="V65" s="581"/>
      <c r="Z65" s="666">
        <f>(F65-G65)</f>
        <v>0</v>
      </c>
      <c r="AA65" s="666">
        <f>(H65+I65+J65+K65)</f>
        <v>0</v>
      </c>
      <c r="AB65" s="666">
        <f>(L65+M65+N65+O65+P65)</f>
        <v>0</v>
      </c>
      <c r="AC65" s="666">
        <f>(Q65+R65-S65-T65)</f>
        <v>0</v>
      </c>
      <c r="AD65" s="666">
        <f>(Z65+AA65-AB65-AC65)</f>
        <v>0</v>
      </c>
      <c r="AE65" s="667">
        <v>1E-3</v>
      </c>
      <c r="AF65" s="660" t="str">
        <f>IF(Parameters!$D$19="2007 IPCC Fourth Assessment", _xlfn.IFNA(VLOOKUP(E65, 'Emission Factors'!$B$1029:$H$1196, 4, FALSE), ""), _xlfn.IFNA(VLOOKUP(E65, 'Emission Factors'!$B$1029:$H$1196, 6, FALSE), ""))</f>
        <v/>
      </c>
      <c r="AG65" s="668">
        <v>0</v>
      </c>
    </row>
    <row r="66" spans="2:33" hidden="1">
      <c r="B66" s="525"/>
      <c r="C66" s="574"/>
      <c r="D66" s="575"/>
      <c r="E66" s="527"/>
      <c r="F66" s="582"/>
      <c r="G66" s="583"/>
      <c r="H66" s="582"/>
      <c r="I66" s="575"/>
      <c r="J66" s="575"/>
      <c r="K66" s="583"/>
      <c r="L66" s="582"/>
      <c r="M66" s="575"/>
      <c r="N66" s="575"/>
      <c r="O66" s="575"/>
      <c r="P66" s="583"/>
      <c r="Q66" s="579"/>
      <c r="R66" s="575"/>
      <c r="S66" s="575"/>
      <c r="T66" s="575"/>
      <c r="U66" s="580" t="str">
        <f t="shared" ref="U66:U82" si="8">IFERROR(AD66*AE66*AF66, "")</f>
        <v/>
      </c>
      <c r="V66" s="581"/>
      <c r="Z66" s="666">
        <f t="shared" ref="Z66:Z82" si="9">(F66-G66)</f>
        <v>0</v>
      </c>
      <c r="AA66" s="666">
        <f t="shared" ref="AA66:AA82" si="10">(H66+I66+J66+K66)</f>
        <v>0</v>
      </c>
      <c r="AB66" s="666">
        <f t="shared" ref="AB66:AB82" si="11">(L66+M66+N66+O66+P66)</f>
        <v>0</v>
      </c>
      <c r="AC66" s="666">
        <f t="shared" ref="AC66:AC82" si="12">(Q66+R66-S66-T66)</f>
        <v>0</v>
      </c>
      <c r="AD66" s="666">
        <f t="shared" ref="AD66:AD82" si="13">(Z66+AA66-AB66-AC66)</f>
        <v>0</v>
      </c>
      <c r="AE66" s="667">
        <v>1E-3</v>
      </c>
      <c r="AF66" s="660" t="str">
        <f>IF(Parameters!$D$19="2007 IPCC Fourth Assessment", _xlfn.IFNA(VLOOKUP(E66, 'Emission Factors'!$B$1029:$H$1196, 4, FALSE), ""), _xlfn.IFNA(VLOOKUP(E66, 'Emission Factors'!$B$1029:$H$1196, 6, FALSE), ""))</f>
        <v/>
      </c>
      <c r="AG66" s="668">
        <v>0</v>
      </c>
    </row>
    <row r="67" spans="2:33" hidden="1">
      <c r="B67" s="525"/>
      <c r="C67" s="574"/>
      <c r="D67" s="575"/>
      <c r="E67" s="527"/>
      <c r="F67" s="582"/>
      <c r="G67" s="583"/>
      <c r="H67" s="582"/>
      <c r="I67" s="575"/>
      <c r="J67" s="575"/>
      <c r="K67" s="583"/>
      <c r="L67" s="582"/>
      <c r="M67" s="575"/>
      <c r="N67" s="575"/>
      <c r="O67" s="575"/>
      <c r="P67" s="583"/>
      <c r="Q67" s="579"/>
      <c r="R67" s="575"/>
      <c r="S67" s="575"/>
      <c r="T67" s="575"/>
      <c r="U67" s="580" t="str">
        <f t="shared" si="8"/>
        <v/>
      </c>
      <c r="V67" s="581"/>
      <c r="Z67" s="666">
        <f t="shared" si="9"/>
        <v>0</v>
      </c>
      <c r="AA67" s="666">
        <f t="shared" si="10"/>
        <v>0</v>
      </c>
      <c r="AB67" s="666">
        <f t="shared" si="11"/>
        <v>0</v>
      </c>
      <c r="AC67" s="666">
        <f t="shared" si="12"/>
        <v>0</v>
      </c>
      <c r="AD67" s="666">
        <f t="shared" si="13"/>
        <v>0</v>
      </c>
      <c r="AE67" s="667">
        <v>1E-3</v>
      </c>
      <c r="AF67" s="660" t="str">
        <f>IF(Parameters!$D$19="2007 IPCC Fourth Assessment", _xlfn.IFNA(VLOOKUP(E67, 'Emission Factors'!$B$1029:$H$1196, 4, FALSE), ""), _xlfn.IFNA(VLOOKUP(E67, 'Emission Factors'!$B$1029:$H$1196, 6, FALSE), ""))</f>
        <v/>
      </c>
      <c r="AG67" s="668">
        <v>0</v>
      </c>
    </row>
    <row r="68" spans="2:33" hidden="1">
      <c r="B68" s="525"/>
      <c r="C68" s="574"/>
      <c r="D68" s="575"/>
      <c r="E68" s="527"/>
      <c r="F68" s="582"/>
      <c r="G68" s="583"/>
      <c r="H68" s="582"/>
      <c r="I68" s="575"/>
      <c r="J68" s="575"/>
      <c r="K68" s="583"/>
      <c r="L68" s="582"/>
      <c r="M68" s="575"/>
      <c r="N68" s="575"/>
      <c r="O68" s="575"/>
      <c r="P68" s="583"/>
      <c r="Q68" s="579"/>
      <c r="R68" s="575"/>
      <c r="S68" s="575"/>
      <c r="T68" s="575"/>
      <c r="U68" s="580" t="str">
        <f t="shared" si="8"/>
        <v/>
      </c>
      <c r="V68" s="581"/>
      <c r="Z68" s="666">
        <f t="shared" si="9"/>
        <v>0</v>
      </c>
      <c r="AA68" s="666">
        <f t="shared" si="10"/>
        <v>0</v>
      </c>
      <c r="AB68" s="666">
        <f t="shared" si="11"/>
        <v>0</v>
      </c>
      <c r="AC68" s="666">
        <f t="shared" si="12"/>
        <v>0</v>
      </c>
      <c r="AD68" s="666">
        <f t="shared" si="13"/>
        <v>0</v>
      </c>
      <c r="AE68" s="667">
        <v>1E-3</v>
      </c>
      <c r="AF68" s="660" t="str">
        <f>IF(Parameters!$D$19="2007 IPCC Fourth Assessment", _xlfn.IFNA(VLOOKUP(E68, 'Emission Factors'!$B$1029:$H$1196, 4, FALSE), ""), _xlfn.IFNA(VLOOKUP(E68, 'Emission Factors'!$B$1029:$H$1196, 6, FALSE), ""))</f>
        <v/>
      </c>
      <c r="AG68" s="668">
        <v>0</v>
      </c>
    </row>
    <row r="69" spans="2:33" hidden="1">
      <c r="B69" s="525"/>
      <c r="C69" s="574"/>
      <c r="D69" s="575"/>
      <c r="E69" s="527"/>
      <c r="F69" s="582"/>
      <c r="G69" s="583"/>
      <c r="H69" s="582"/>
      <c r="I69" s="575"/>
      <c r="J69" s="575"/>
      <c r="K69" s="583"/>
      <c r="L69" s="582"/>
      <c r="M69" s="575"/>
      <c r="N69" s="575"/>
      <c r="O69" s="575"/>
      <c r="P69" s="583"/>
      <c r="Q69" s="579"/>
      <c r="R69" s="575"/>
      <c r="S69" s="575"/>
      <c r="T69" s="575"/>
      <c r="U69" s="580" t="str">
        <f t="shared" si="8"/>
        <v/>
      </c>
      <c r="V69" s="581"/>
      <c r="Z69" s="666">
        <f t="shared" si="9"/>
        <v>0</v>
      </c>
      <c r="AA69" s="666">
        <f t="shared" si="10"/>
        <v>0</v>
      </c>
      <c r="AB69" s="666">
        <f t="shared" si="11"/>
        <v>0</v>
      </c>
      <c r="AC69" s="666">
        <f t="shared" si="12"/>
        <v>0</v>
      </c>
      <c r="AD69" s="666">
        <f t="shared" si="13"/>
        <v>0</v>
      </c>
      <c r="AE69" s="667">
        <v>1E-3</v>
      </c>
      <c r="AF69" s="660" t="str">
        <f>IF(Parameters!$D$19="2007 IPCC Fourth Assessment", _xlfn.IFNA(VLOOKUP(E69, 'Emission Factors'!$B$1029:$H$1196, 4, FALSE), ""), _xlfn.IFNA(VLOOKUP(E69, 'Emission Factors'!$B$1029:$H$1196, 6, FALSE), ""))</f>
        <v/>
      </c>
      <c r="AG69" s="668">
        <v>0</v>
      </c>
    </row>
    <row r="70" spans="2:33" hidden="1">
      <c r="B70" s="525"/>
      <c r="C70" s="574"/>
      <c r="D70" s="575"/>
      <c r="E70" s="527"/>
      <c r="F70" s="582"/>
      <c r="G70" s="583"/>
      <c r="H70" s="582"/>
      <c r="I70" s="575"/>
      <c r="J70" s="575"/>
      <c r="K70" s="583"/>
      <c r="L70" s="582"/>
      <c r="M70" s="575"/>
      <c r="N70" s="575"/>
      <c r="O70" s="575"/>
      <c r="P70" s="583"/>
      <c r="Q70" s="579"/>
      <c r="R70" s="575"/>
      <c r="S70" s="575"/>
      <c r="T70" s="575"/>
      <c r="U70" s="580" t="str">
        <f t="shared" si="8"/>
        <v/>
      </c>
      <c r="V70" s="581"/>
      <c r="Z70" s="666">
        <f t="shared" si="9"/>
        <v>0</v>
      </c>
      <c r="AA70" s="666">
        <f t="shared" si="10"/>
        <v>0</v>
      </c>
      <c r="AB70" s="666">
        <f t="shared" si="11"/>
        <v>0</v>
      </c>
      <c r="AC70" s="666">
        <f t="shared" si="12"/>
        <v>0</v>
      </c>
      <c r="AD70" s="666">
        <f t="shared" si="13"/>
        <v>0</v>
      </c>
      <c r="AE70" s="667">
        <v>1E-3</v>
      </c>
      <c r="AF70" s="660" t="str">
        <f>IF(Parameters!$D$19="2007 IPCC Fourth Assessment", _xlfn.IFNA(VLOOKUP(E70, 'Emission Factors'!$B$1029:$H$1196, 4, FALSE), ""), _xlfn.IFNA(VLOOKUP(E70, 'Emission Factors'!$B$1029:$H$1196, 6, FALSE), ""))</f>
        <v/>
      </c>
      <c r="AG70" s="668">
        <v>0</v>
      </c>
    </row>
    <row r="71" spans="2:33" hidden="1">
      <c r="B71" s="525"/>
      <c r="C71" s="574"/>
      <c r="D71" s="575"/>
      <c r="E71" s="527"/>
      <c r="F71" s="582"/>
      <c r="G71" s="583"/>
      <c r="H71" s="582"/>
      <c r="I71" s="575"/>
      <c r="J71" s="575"/>
      <c r="K71" s="583"/>
      <c r="L71" s="582"/>
      <c r="M71" s="575"/>
      <c r="N71" s="575"/>
      <c r="O71" s="575"/>
      <c r="P71" s="583"/>
      <c r="Q71" s="579"/>
      <c r="R71" s="575"/>
      <c r="S71" s="575"/>
      <c r="T71" s="575"/>
      <c r="U71" s="580" t="str">
        <f t="shared" si="8"/>
        <v/>
      </c>
      <c r="V71" s="581"/>
      <c r="Z71" s="666">
        <f t="shared" si="9"/>
        <v>0</v>
      </c>
      <c r="AA71" s="666">
        <f t="shared" si="10"/>
        <v>0</v>
      </c>
      <c r="AB71" s="666">
        <f t="shared" si="11"/>
        <v>0</v>
      </c>
      <c r="AC71" s="666">
        <f t="shared" si="12"/>
        <v>0</v>
      </c>
      <c r="AD71" s="666">
        <f t="shared" si="13"/>
        <v>0</v>
      </c>
      <c r="AE71" s="667">
        <v>1E-3</v>
      </c>
      <c r="AF71" s="660" t="str">
        <f>IF(Parameters!$D$19="2007 IPCC Fourth Assessment", _xlfn.IFNA(VLOOKUP(E71, 'Emission Factors'!$B$1029:$H$1196, 4, FALSE), ""), _xlfn.IFNA(VLOOKUP(E71, 'Emission Factors'!$B$1029:$H$1196, 6, FALSE), ""))</f>
        <v/>
      </c>
      <c r="AG71" s="668">
        <v>0</v>
      </c>
    </row>
    <row r="72" spans="2:33" hidden="1">
      <c r="B72" s="525"/>
      <c r="C72" s="574"/>
      <c r="D72" s="575"/>
      <c r="E72" s="527"/>
      <c r="F72" s="582"/>
      <c r="G72" s="583"/>
      <c r="H72" s="582"/>
      <c r="I72" s="575"/>
      <c r="J72" s="575"/>
      <c r="K72" s="583"/>
      <c r="L72" s="582"/>
      <c r="M72" s="575"/>
      <c r="N72" s="575"/>
      <c r="O72" s="575"/>
      <c r="P72" s="583"/>
      <c r="Q72" s="579"/>
      <c r="R72" s="575"/>
      <c r="S72" s="575"/>
      <c r="T72" s="575"/>
      <c r="U72" s="580" t="str">
        <f t="shared" si="8"/>
        <v/>
      </c>
      <c r="V72" s="581"/>
      <c r="Z72" s="666">
        <f t="shared" si="9"/>
        <v>0</v>
      </c>
      <c r="AA72" s="666">
        <f t="shared" si="10"/>
        <v>0</v>
      </c>
      <c r="AB72" s="666">
        <f t="shared" si="11"/>
        <v>0</v>
      </c>
      <c r="AC72" s="666">
        <f t="shared" si="12"/>
        <v>0</v>
      </c>
      <c r="AD72" s="666">
        <f t="shared" si="13"/>
        <v>0</v>
      </c>
      <c r="AE72" s="667">
        <v>1E-3</v>
      </c>
      <c r="AF72" s="660" t="str">
        <f>IF(Parameters!$D$19="2007 IPCC Fourth Assessment", _xlfn.IFNA(VLOOKUP(E72, 'Emission Factors'!$B$1029:$H$1196, 4, FALSE), ""), _xlfn.IFNA(VLOOKUP(E72, 'Emission Factors'!$B$1029:$H$1196, 6, FALSE), ""))</f>
        <v/>
      </c>
      <c r="AG72" s="668">
        <v>0</v>
      </c>
    </row>
    <row r="73" spans="2:33" hidden="1">
      <c r="B73" s="525"/>
      <c r="C73" s="574"/>
      <c r="D73" s="575"/>
      <c r="E73" s="527"/>
      <c r="F73" s="582"/>
      <c r="G73" s="583"/>
      <c r="H73" s="582"/>
      <c r="I73" s="575"/>
      <c r="J73" s="575"/>
      <c r="K73" s="583"/>
      <c r="L73" s="582"/>
      <c r="M73" s="575"/>
      <c r="N73" s="575"/>
      <c r="O73" s="575"/>
      <c r="P73" s="583"/>
      <c r="Q73" s="579"/>
      <c r="R73" s="575"/>
      <c r="S73" s="575"/>
      <c r="T73" s="575"/>
      <c r="U73" s="580" t="str">
        <f t="shared" si="8"/>
        <v/>
      </c>
      <c r="V73" s="581"/>
      <c r="Z73" s="666">
        <f t="shared" si="9"/>
        <v>0</v>
      </c>
      <c r="AA73" s="666">
        <f t="shared" si="10"/>
        <v>0</v>
      </c>
      <c r="AB73" s="666">
        <f t="shared" si="11"/>
        <v>0</v>
      </c>
      <c r="AC73" s="666">
        <f t="shared" si="12"/>
        <v>0</v>
      </c>
      <c r="AD73" s="666">
        <f t="shared" si="13"/>
        <v>0</v>
      </c>
      <c r="AE73" s="667">
        <v>1E-3</v>
      </c>
      <c r="AF73" s="660" t="str">
        <f>IF(Parameters!$D$19="2007 IPCC Fourth Assessment", _xlfn.IFNA(VLOOKUP(E73, 'Emission Factors'!$B$1029:$H$1196, 4, FALSE), ""), _xlfn.IFNA(VLOOKUP(E73, 'Emission Factors'!$B$1029:$H$1196, 6, FALSE), ""))</f>
        <v/>
      </c>
      <c r="AG73" s="668">
        <v>0</v>
      </c>
    </row>
    <row r="74" spans="2:33" hidden="1">
      <c r="B74" s="525"/>
      <c r="C74" s="574"/>
      <c r="D74" s="575"/>
      <c r="E74" s="527"/>
      <c r="F74" s="582"/>
      <c r="G74" s="583"/>
      <c r="H74" s="582"/>
      <c r="I74" s="575"/>
      <c r="J74" s="575"/>
      <c r="K74" s="583"/>
      <c r="L74" s="582"/>
      <c r="M74" s="575"/>
      <c r="N74" s="575"/>
      <c r="O74" s="575"/>
      <c r="P74" s="583"/>
      <c r="Q74" s="579"/>
      <c r="R74" s="575"/>
      <c r="S74" s="575"/>
      <c r="T74" s="575"/>
      <c r="U74" s="580" t="str">
        <f t="shared" si="8"/>
        <v/>
      </c>
      <c r="V74" s="581"/>
      <c r="Z74" s="666">
        <f t="shared" si="9"/>
        <v>0</v>
      </c>
      <c r="AA74" s="666">
        <f t="shared" si="10"/>
        <v>0</v>
      </c>
      <c r="AB74" s="666">
        <f t="shared" si="11"/>
        <v>0</v>
      </c>
      <c r="AC74" s="666">
        <f t="shared" si="12"/>
        <v>0</v>
      </c>
      <c r="AD74" s="666">
        <f t="shared" si="13"/>
        <v>0</v>
      </c>
      <c r="AE74" s="667">
        <v>1E-3</v>
      </c>
      <c r="AF74" s="660" t="str">
        <f>IF(Parameters!$D$19="2007 IPCC Fourth Assessment", _xlfn.IFNA(VLOOKUP(E74, 'Emission Factors'!$B$1029:$H$1196, 4, FALSE), ""), _xlfn.IFNA(VLOOKUP(E74, 'Emission Factors'!$B$1029:$H$1196, 6, FALSE), ""))</f>
        <v/>
      </c>
      <c r="AG74" s="668">
        <v>0</v>
      </c>
    </row>
    <row r="75" spans="2:33" hidden="1">
      <c r="B75" s="525"/>
      <c r="C75" s="574"/>
      <c r="D75" s="575"/>
      <c r="E75" s="527"/>
      <c r="F75" s="582"/>
      <c r="G75" s="583"/>
      <c r="H75" s="582"/>
      <c r="I75" s="575"/>
      <c r="J75" s="575"/>
      <c r="K75" s="583"/>
      <c r="L75" s="582"/>
      <c r="M75" s="575"/>
      <c r="N75" s="575"/>
      <c r="O75" s="575"/>
      <c r="P75" s="583"/>
      <c r="Q75" s="579"/>
      <c r="R75" s="575"/>
      <c r="S75" s="575"/>
      <c r="T75" s="575"/>
      <c r="U75" s="580" t="str">
        <f t="shared" si="8"/>
        <v/>
      </c>
      <c r="V75" s="581"/>
      <c r="Z75" s="666">
        <f t="shared" si="9"/>
        <v>0</v>
      </c>
      <c r="AA75" s="666">
        <f t="shared" si="10"/>
        <v>0</v>
      </c>
      <c r="AB75" s="666">
        <f t="shared" si="11"/>
        <v>0</v>
      </c>
      <c r="AC75" s="666">
        <f t="shared" si="12"/>
        <v>0</v>
      </c>
      <c r="AD75" s="666">
        <f t="shared" si="13"/>
        <v>0</v>
      </c>
      <c r="AE75" s="667">
        <v>1E-3</v>
      </c>
      <c r="AF75" s="660" t="str">
        <f>IF(Parameters!$D$19="2007 IPCC Fourth Assessment", _xlfn.IFNA(VLOOKUP(E75, 'Emission Factors'!$B$1029:$H$1196, 4, FALSE), ""), _xlfn.IFNA(VLOOKUP(E75, 'Emission Factors'!$B$1029:$H$1196, 6, FALSE), ""))</f>
        <v/>
      </c>
      <c r="AG75" s="668">
        <v>0</v>
      </c>
    </row>
    <row r="76" spans="2:33" hidden="1">
      <c r="B76" s="525"/>
      <c r="C76" s="574"/>
      <c r="D76" s="575"/>
      <c r="E76" s="527"/>
      <c r="F76" s="582"/>
      <c r="G76" s="583"/>
      <c r="H76" s="582"/>
      <c r="I76" s="575"/>
      <c r="J76" s="575"/>
      <c r="K76" s="583"/>
      <c r="L76" s="582"/>
      <c r="M76" s="575"/>
      <c r="N76" s="575"/>
      <c r="O76" s="575"/>
      <c r="P76" s="583"/>
      <c r="Q76" s="579"/>
      <c r="R76" s="575"/>
      <c r="S76" s="575"/>
      <c r="T76" s="575"/>
      <c r="U76" s="580" t="str">
        <f t="shared" si="8"/>
        <v/>
      </c>
      <c r="V76" s="581"/>
      <c r="Z76" s="666">
        <f t="shared" si="9"/>
        <v>0</v>
      </c>
      <c r="AA76" s="666">
        <f t="shared" si="10"/>
        <v>0</v>
      </c>
      <c r="AB76" s="666">
        <f t="shared" si="11"/>
        <v>0</v>
      </c>
      <c r="AC76" s="666">
        <f t="shared" si="12"/>
        <v>0</v>
      </c>
      <c r="AD76" s="666">
        <f t="shared" si="13"/>
        <v>0</v>
      </c>
      <c r="AE76" s="667">
        <v>1E-3</v>
      </c>
      <c r="AF76" s="660" t="str">
        <f>IF(Parameters!$D$19="2007 IPCC Fourth Assessment", _xlfn.IFNA(VLOOKUP(E76, 'Emission Factors'!$B$1029:$H$1196, 4, FALSE), ""), _xlfn.IFNA(VLOOKUP(E76, 'Emission Factors'!$B$1029:$H$1196, 6, FALSE), ""))</f>
        <v/>
      </c>
      <c r="AG76" s="668">
        <v>0</v>
      </c>
    </row>
    <row r="77" spans="2:33" hidden="1">
      <c r="B77" s="525"/>
      <c r="C77" s="574"/>
      <c r="D77" s="575"/>
      <c r="E77" s="527"/>
      <c r="F77" s="582"/>
      <c r="G77" s="583"/>
      <c r="H77" s="582"/>
      <c r="I77" s="575"/>
      <c r="J77" s="575"/>
      <c r="K77" s="583"/>
      <c r="L77" s="582"/>
      <c r="M77" s="575"/>
      <c r="N77" s="575"/>
      <c r="O77" s="575"/>
      <c r="P77" s="583"/>
      <c r="Q77" s="579"/>
      <c r="R77" s="575"/>
      <c r="S77" s="575"/>
      <c r="T77" s="575"/>
      <c r="U77" s="580" t="str">
        <f t="shared" si="8"/>
        <v/>
      </c>
      <c r="V77" s="581"/>
      <c r="Z77" s="666">
        <f t="shared" si="9"/>
        <v>0</v>
      </c>
      <c r="AA77" s="666">
        <f t="shared" si="10"/>
        <v>0</v>
      </c>
      <c r="AB77" s="666">
        <f t="shared" si="11"/>
        <v>0</v>
      </c>
      <c r="AC77" s="666">
        <f t="shared" si="12"/>
        <v>0</v>
      </c>
      <c r="AD77" s="666">
        <f t="shared" si="13"/>
        <v>0</v>
      </c>
      <c r="AE77" s="667">
        <v>1E-3</v>
      </c>
      <c r="AF77" s="660" t="str">
        <f>IF(Parameters!$D$19="2007 IPCC Fourth Assessment", _xlfn.IFNA(VLOOKUP(E77, 'Emission Factors'!$B$1029:$H$1196, 4, FALSE), ""), _xlfn.IFNA(VLOOKUP(E77, 'Emission Factors'!$B$1029:$H$1196, 6, FALSE), ""))</f>
        <v/>
      </c>
      <c r="AG77" s="668">
        <v>0</v>
      </c>
    </row>
    <row r="78" spans="2:33" hidden="1">
      <c r="B78" s="525"/>
      <c r="C78" s="574"/>
      <c r="D78" s="575"/>
      <c r="E78" s="527"/>
      <c r="F78" s="582"/>
      <c r="G78" s="583"/>
      <c r="H78" s="582"/>
      <c r="I78" s="575"/>
      <c r="J78" s="575"/>
      <c r="K78" s="583"/>
      <c r="L78" s="582"/>
      <c r="M78" s="575"/>
      <c r="N78" s="575"/>
      <c r="O78" s="575"/>
      <c r="P78" s="583"/>
      <c r="Q78" s="579"/>
      <c r="R78" s="575"/>
      <c r="S78" s="575"/>
      <c r="T78" s="575"/>
      <c r="U78" s="580" t="str">
        <f t="shared" si="8"/>
        <v/>
      </c>
      <c r="V78" s="581"/>
      <c r="Z78" s="666">
        <f t="shared" si="9"/>
        <v>0</v>
      </c>
      <c r="AA78" s="666">
        <f t="shared" si="10"/>
        <v>0</v>
      </c>
      <c r="AB78" s="666">
        <f t="shared" si="11"/>
        <v>0</v>
      </c>
      <c r="AC78" s="666">
        <f t="shared" si="12"/>
        <v>0</v>
      </c>
      <c r="AD78" s="666">
        <f t="shared" si="13"/>
        <v>0</v>
      </c>
      <c r="AE78" s="667">
        <v>1E-3</v>
      </c>
      <c r="AF78" s="660" t="str">
        <f>IF(Parameters!$D$19="2007 IPCC Fourth Assessment", _xlfn.IFNA(VLOOKUP(E78, 'Emission Factors'!$B$1029:$H$1196, 4, FALSE), ""), _xlfn.IFNA(VLOOKUP(E78, 'Emission Factors'!$B$1029:$H$1196, 6, FALSE), ""))</f>
        <v/>
      </c>
      <c r="AG78" s="668">
        <v>0</v>
      </c>
    </row>
    <row r="79" spans="2:33" hidden="1">
      <c r="B79" s="525"/>
      <c r="C79" s="574"/>
      <c r="D79" s="575"/>
      <c r="E79" s="527"/>
      <c r="F79" s="582"/>
      <c r="G79" s="583"/>
      <c r="H79" s="582"/>
      <c r="I79" s="575"/>
      <c r="J79" s="575"/>
      <c r="K79" s="583"/>
      <c r="L79" s="582"/>
      <c r="M79" s="575"/>
      <c r="N79" s="575"/>
      <c r="O79" s="575"/>
      <c r="P79" s="583"/>
      <c r="Q79" s="579"/>
      <c r="R79" s="575"/>
      <c r="S79" s="575"/>
      <c r="T79" s="575"/>
      <c r="U79" s="580" t="str">
        <f t="shared" si="8"/>
        <v/>
      </c>
      <c r="V79" s="581"/>
      <c r="Z79" s="666">
        <f t="shared" si="9"/>
        <v>0</v>
      </c>
      <c r="AA79" s="666">
        <f t="shared" si="10"/>
        <v>0</v>
      </c>
      <c r="AB79" s="666">
        <f t="shared" si="11"/>
        <v>0</v>
      </c>
      <c r="AC79" s="666">
        <f t="shared" si="12"/>
        <v>0</v>
      </c>
      <c r="AD79" s="666">
        <f t="shared" si="13"/>
        <v>0</v>
      </c>
      <c r="AE79" s="667">
        <v>1E-3</v>
      </c>
      <c r="AF79" s="660" t="str">
        <f>IF(Parameters!$D$19="2007 IPCC Fourth Assessment", _xlfn.IFNA(VLOOKUP(E79, 'Emission Factors'!$B$1029:$H$1196, 4, FALSE), ""), _xlfn.IFNA(VLOOKUP(E79, 'Emission Factors'!$B$1029:$H$1196, 6, FALSE), ""))</f>
        <v/>
      </c>
      <c r="AG79" s="668">
        <v>0</v>
      </c>
    </row>
    <row r="80" spans="2:33" hidden="1">
      <c r="B80" s="525"/>
      <c r="C80" s="574"/>
      <c r="D80" s="575"/>
      <c r="E80" s="527"/>
      <c r="F80" s="582"/>
      <c r="G80" s="583"/>
      <c r="H80" s="582"/>
      <c r="I80" s="575"/>
      <c r="J80" s="575"/>
      <c r="K80" s="583"/>
      <c r="L80" s="582"/>
      <c r="M80" s="575"/>
      <c r="N80" s="575"/>
      <c r="O80" s="575"/>
      <c r="P80" s="583"/>
      <c r="Q80" s="579"/>
      <c r="R80" s="575"/>
      <c r="S80" s="575"/>
      <c r="T80" s="575"/>
      <c r="U80" s="580" t="str">
        <f t="shared" si="8"/>
        <v/>
      </c>
      <c r="V80" s="581"/>
      <c r="Z80" s="666">
        <f t="shared" si="9"/>
        <v>0</v>
      </c>
      <c r="AA80" s="666">
        <f t="shared" si="10"/>
        <v>0</v>
      </c>
      <c r="AB80" s="666">
        <f t="shared" si="11"/>
        <v>0</v>
      </c>
      <c r="AC80" s="666">
        <f t="shared" si="12"/>
        <v>0</v>
      </c>
      <c r="AD80" s="666">
        <f t="shared" si="13"/>
        <v>0</v>
      </c>
      <c r="AE80" s="667">
        <v>1E-3</v>
      </c>
      <c r="AF80" s="660" t="str">
        <f>IF(Parameters!$D$19="2007 IPCC Fourth Assessment", _xlfn.IFNA(VLOOKUP(E80, 'Emission Factors'!$B$1029:$H$1196, 4, FALSE), ""), _xlfn.IFNA(VLOOKUP(E80, 'Emission Factors'!$B$1029:$H$1196, 6, FALSE), ""))</f>
        <v/>
      </c>
      <c r="AG80" s="668">
        <v>0</v>
      </c>
    </row>
    <row r="81" spans="2:34" hidden="1">
      <c r="B81" s="525"/>
      <c r="C81" s="574"/>
      <c r="D81" s="575"/>
      <c r="E81" s="527"/>
      <c r="F81" s="582"/>
      <c r="G81" s="583"/>
      <c r="H81" s="582"/>
      <c r="I81" s="575"/>
      <c r="J81" s="575"/>
      <c r="K81" s="583"/>
      <c r="L81" s="582"/>
      <c r="M81" s="575"/>
      <c r="N81" s="575"/>
      <c r="O81" s="575"/>
      <c r="P81" s="583"/>
      <c r="Q81" s="579"/>
      <c r="R81" s="575"/>
      <c r="S81" s="575"/>
      <c r="T81" s="575"/>
      <c r="U81" s="580" t="str">
        <f t="shared" si="8"/>
        <v/>
      </c>
      <c r="V81" s="581"/>
      <c r="Z81" s="666">
        <f t="shared" si="9"/>
        <v>0</v>
      </c>
      <c r="AA81" s="666">
        <f t="shared" si="10"/>
        <v>0</v>
      </c>
      <c r="AB81" s="666">
        <f t="shared" si="11"/>
        <v>0</v>
      </c>
      <c r="AC81" s="666">
        <f t="shared" si="12"/>
        <v>0</v>
      </c>
      <c r="AD81" s="666">
        <f t="shared" si="13"/>
        <v>0</v>
      </c>
      <c r="AE81" s="667">
        <v>1E-3</v>
      </c>
      <c r="AF81" s="660" t="str">
        <f>IF(Parameters!$D$19="2007 IPCC Fourth Assessment", _xlfn.IFNA(VLOOKUP(E81, 'Emission Factors'!$B$1029:$H$1196, 4, FALSE), ""), _xlfn.IFNA(VLOOKUP(E81, 'Emission Factors'!$B$1029:$H$1196, 6, FALSE), ""))</f>
        <v/>
      </c>
      <c r="AG81" s="668">
        <v>0</v>
      </c>
    </row>
    <row r="82" spans="2:34" ht="15.75" hidden="1" thickBot="1">
      <c r="B82" s="525"/>
      <c r="C82" s="574"/>
      <c r="D82" s="575"/>
      <c r="E82" s="527"/>
      <c r="F82" s="584"/>
      <c r="G82" s="585"/>
      <c r="H82" s="584"/>
      <c r="I82" s="586"/>
      <c r="J82" s="586"/>
      <c r="K82" s="585"/>
      <c r="L82" s="584"/>
      <c r="M82" s="586"/>
      <c r="N82" s="586"/>
      <c r="O82" s="586"/>
      <c r="P82" s="585"/>
      <c r="Q82" s="579"/>
      <c r="R82" s="575"/>
      <c r="S82" s="575"/>
      <c r="T82" s="575"/>
      <c r="U82" s="580" t="str">
        <f t="shared" si="8"/>
        <v/>
      </c>
      <c r="V82" s="581"/>
      <c r="Z82" s="666">
        <f t="shared" si="9"/>
        <v>0</v>
      </c>
      <c r="AA82" s="666">
        <f t="shared" si="10"/>
        <v>0</v>
      </c>
      <c r="AB82" s="666">
        <f t="shared" si="11"/>
        <v>0</v>
      </c>
      <c r="AC82" s="666">
        <f t="shared" si="12"/>
        <v>0</v>
      </c>
      <c r="AD82" s="666">
        <f t="shared" si="13"/>
        <v>0</v>
      </c>
      <c r="AE82" s="667">
        <v>1E-3</v>
      </c>
      <c r="AF82" s="660" t="str">
        <f>IF(Parameters!$D$19="2007 IPCC Fourth Assessment", _xlfn.IFNA(VLOOKUP(E82, 'Emission Factors'!$B$1029:$H$1196, 4, FALSE), ""), _xlfn.IFNA(VLOOKUP(E82, 'Emission Factors'!$B$1029:$H$1196, 6, FALSE), ""))</f>
        <v/>
      </c>
      <c r="AG82" s="668">
        <v>0</v>
      </c>
    </row>
    <row r="83" spans="2:34" ht="15.75" hidden="1" thickBot="1">
      <c r="B83" s="545"/>
      <c r="C83" s="545"/>
      <c r="D83" s="587" t="s">
        <v>1344</v>
      </c>
      <c r="E83" s="588"/>
      <c r="F83" s="560"/>
      <c r="G83" s="560"/>
      <c r="H83" s="560"/>
      <c r="I83" s="560"/>
      <c r="J83" s="560"/>
      <c r="K83" s="560"/>
      <c r="L83" s="560"/>
      <c r="M83" s="560"/>
      <c r="N83" s="560"/>
      <c r="O83" s="560"/>
      <c r="P83" s="560"/>
      <c r="Q83" s="560"/>
      <c r="R83" s="547" t="s">
        <v>1314</v>
      </c>
      <c r="S83" s="589"/>
      <c r="T83" s="590"/>
      <c r="U83" s="591">
        <f>SUM(U65:U82)</f>
        <v>0</v>
      </c>
      <c r="V83" s="567"/>
      <c r="AC83" s="669"/>
      <c r="AD83" s="669"/>
      <c r="AE83" s="670" t="s">
        <v>1345</v>
      </c>
      <c r="AF83" s="671"/>
      <c r="AG83" s="672"/>
    </row>
    <row r="84" spans="2:34" hidden="1">
      <c r="B84" s="546"/>
      <c r="C84" s="546"/>
      <c r="D84" s="592" t="s">
        <v>1346</v>
      </c>
      <c r="E84" s="593"/>
      <c r="F84" s="593"/>
      <c r="G84" s="593"/>
      <c r="H84" s="593"/>
      <c r="I84" s="593"/>
      <c r="J84" s="593"/>
      <c r="K84" s="593"/>
      <c r="L84" s="593"/>
      <c r="M84" s="593"/>
      <c r="N84" s="593"/>
      <c r="O84" s="593"/>
      <c r="P84" s="593"/>
      <c r="Q84" s="593"/>
      <c r="R84" s="593"/>
      <c r="S84" s="593"/>
      <c r="T84" s="593"/>
      <c r="U84" s="560"/>
      <c r="V84" s="561"/>
    </row>
    <row r="85" spans="2:34" hidden="1">
      <c r="B85" s="546"/>
      <c r="C85" s="546"/>
      <c r="D85" s="594"/>
      <c r="E85" s="595"/>
      <c r="F85" s="595"/>
      <c r="G85" s="595"/>
      <c r="H85" s="595"/>
      <c r="I85" s="595"/>
      <c r="J85" s="595"/>
      <c r="K85" s="595"/>
      <c r="L85" s="595"/>
      <c r="M85" s="595"/>
      <c r="N85" s="595"/>
      <c r="O85" s="595"/>
      <c r="P85" s="595"/>
      <c r="Q85" s="595"/>
      <c r="R85" s="595"/>
      <c r="S85" s="595"/>
      <c r="T85" s="595"/>
      <c r="U85" s="595"/>
      <c r="V85" s="596"/>
    </row>
    <row r="86" spans="2:34" hidden="1"/>
    <row r="87" spans="2:34" ht="15.75" hidden="1">
      <c r="D87" s="597"/>
      <c r="E87" s="598"/>
      <c r="F87" s="599"/>
      <c r="G87" s="600"/>
      <c r="H87" s="600"/>
      <c r="I87" s="600"/>
      <c r="J87" s="600"/>
      <c r="K87" s="598"/>
      <c r="L87" s="598"/>
      <c r="M87" s="598"/>
      <c r="N87" s="598"/>
      <c r="O87" s="598"/>
      <c r="P87" s="601"/>
    </row>
    <row r="88" spans="2:34" ht="15.75" hidden="1">
      <c r="D88" s="602" t="s">
        <v>1347</v>
      </c>
      <c r="E88" s="603"/>
      <c r="F88" s="603"/>
      <c r="G88" s="603"/>
      <c r="H88" s="603"/>
      <c r="I88" s="603"/>
      <c r="J88" s="604"/>
      <c r="K88" s="604"/>
      <c r="L88" s="604"/>
      <c r="M88" s="604"/>
      <c r="N88" s="604"/>
      <c r="O88" s="604"/>
      <c r="P88" s="605"/>
    </row>
    <row r="89" spans="2:34" ht="15.75" hidden="1">
      <c r="D89" s="606"/>
      <c r="E89" s="607"/>
      <c r="F89" s="607"/>
      <c r="G89" s="607"/>
      <c r="H89" s="607"/>
      <c r="I89" s="607"/>
      <c r="J89" s="608"/>
      <c r="K89" s="608"/>
      <c r="L89" s="608"/>
      <c r="M89" s="608"/>
      <c r="N89" s="608"/>
      <c r="O89" s="608"/>
      <c r="P89" s="609"/>
    </row>
    <row r="90" spans="2:34" hidden="1">
      <c r="D90" s="610" t="s">
        <v>1251</v>
      </c>
      <c r="E90" s="611" t="s">
        <v>1252</v>
      </c>
      <c r="F90" s="611" t="s">
        <v>1253</v>
      </c>
      <c r="G90" s="611" t="s">
        <v>1254</v>
      </c>
      <c r="H90" s="611" t="s">
        <v>1255</v>
      </c>
      <c r="I90" s="611" t="s">
        <v>1256</v>
      </c>
      <c r="J90" s="611" t="s">
        <v>1257</v>
      </c>
      <c r="K90" s="611" t="s">
        <v>1258</v>
      </c>
      <c r="L90" s="611" t="s">
        <v>1259</v>
      </c>
      <c r="M90" s="611" t="s">
        <v>1260</v>
      </c>
      <c r="N90" s="611" t="s">
        <v>1261</v>
      </c>
      <c r="O90" s="611" t="s">
        <v>1262</v>
      </c>
      <c r="P90" s="605"/>
    </row>
    <row r="91" spans="2:34" ht="14.65" hidden="1" customHeight="1">
      <c r="D91" s="965" t="s">
        <v>1268</v>
      </c>
      <c r="E91" s="965"/>
      <c r="F91" s="965" t="s">
        <v>1348</v>
      </c>
      <c r="G91" s="965"/>
      <c r="H91" s="965"/>
      <c r="I91" s="965"/>
      <c r="J91" s="838" t="s">
        <v>1349</v>
      </c>
      <c r="K91" s="965" t="s">
        <v>1350</v>
      </c>
      <c r="L91" s="966"/>
      <c r="M91" s="965"/>
      <c r="N91" s="965"/>
      <c r="O91" s="612"/>
      <c r="P91" s="613"/>
    </row>
    <row r="92" spans="2:34" hidden="1">
      <c r="D92" s="612" t="s">
        <v>655</v>
      </c>
      <c r="E92" s="612" t="s">
        <v>1274</v>
      </c>
      <c r="F92" s="612" t="s">
        <v>1275</v>
      </c>
      <c r="G92" s="612" t="s">
        <v>1276</v>
      </c>
      <c r="H92" s="612" t="s">
        <v>1277</v>
      </c>
      <c r="I92" s="612" t="s">
        <v>1278</v>
      </c>
      <c r="J92" s="612" t="s">
        <v>1279</v>
      </c>
      <c r="K92" s="612" t="s">
        <v>1280</v>
      </c>
      <c r="L92" s="612" t="s">
        <v>1281</v>
      </c>
      <c r="M92" s="612" t="s">
        <v>1282</v>
      </c>
      <c r="N92" s="612" t="s">
        <v>1283</v>
      </c>
      <c r="O92" s="612" t="s">
        <v>1237</v>
      </c>
      <c r="P92" s="613"/>
      <c r="AC92" s="673" t="s">
        <v>1279</v>
      </c>
      <c r="AD92" s="673" t="s">
        <v>651</v>
      </c>
      <c r="AE92" s="673" t="s">
        <v>1324</v>
      </c>
      <c r="AF92" s="673" t="s">
        <v>650</v>
      </c>
      <c r="AG92" s="673" t="s">
        <v>1287</v>
      </c>
      <c r="AH92" s="673" t="s">
        <v>648</v>
      </c>
    </row>
    <row r="93" spans="2:34" ht="14.65" hidden="1" customHeight="1">
      <c r="B93" s="946" t="s">
        <v>206</v>
      </c>
      <c r="C93" s="946" t="s">
        <v>63</v>
      </c>
      <c r="D93" s="955" t="s">
        <v>1289</v>
      </c>
      <c r="E93" s="965" t="s">
        <v>1290</v>
      </c>
      <c r="F93" s="965" t="s">
        <v>1351</v>
      </c>
      <c r="G93" s="965" t="s">
        <v>1352</v>
      </c>
      <c r="H93" s="965" t="s">
        <v>1353</v>
      </c>
      <c r="I93" s="965" t="s">
        <v>1334</v>
      </c>
      <c r="J93" s="965" t="s">
        <v>1354</v>
      </c>
      <c r="K93" s="965" t="s">
        <v>1335</v>
      </c>
      <c r="L93" s="965" t="s">
        <v>1355</v>
      </c>
      <c r="M93" s="965" t="s">
        <v>1356</v>
      </c>
      <c r="N93" s="965" t="s">
        <v>1357</v>
      </c>
      <c r="O93" s="987" t="s">
        <v>1301</v>
      </c>
      <c r="P93" s="614"/>
      <c r="AC93" s="974" t="s">
        <v>1358</v>
      </c>
      <c r="AD93" s="974" t="s">
        <v>1359</v>
      </c>
      <c r="AE93" s="974" t="s">
        <v>1360</v>
      </c>
      <c r="AF93" s="974" t="s">
        <v>1310</v>
      </c>
      <c r="AG93" s="971" t="s">
        <v>1342</v>
      </c>
      <c r="AH93" s="971" t="s">
        <v>1361</v>
      </c>
    </row>
    <row r="94" spans="2:34" ht="49.5" hidden="1" customHeight="1" thickBot="1">
      <c r="B94" s="949"/>
      <c r="C94" s="949"/>
      <c r="D94" s="968"/>
      <c r="E94" s="966"/>
      <c r="F94" s="967"/>
      <c r="G94" s="967"/>
      <c r="H94" s="967"/>
      <c r="I94" s="967"/>
      <c r="J94" s="966"/>
      <c r="K94" s="966"/>
      <c r="L94" s="966"/>
      <c r="M94" s="966"/>
      <c r="N94" s="966"/>
      <c r="O94" s="988"/>
      <c r="P94" s="615"/>
      <c r="AC94" s="972"/>
      <c r="AD94" s="972"/>
      <c r="AE94" s="972"/>
      <c r="AF94" s="972"/>
      <c r="AG94" s="972"/>
      <c r="AH94" s="972"/>
    </row>
    <row r="95" spans="2:34" hidden="1">
      <c r="B95" s="525">
        <v>2018</v>
      </c>
      <c r="C95" s="574"/>
      <c r="D95" s="616"/>
      <c r="E95" s="527"/>
      <c r="F95" s="617"/>
      <c r="G95" s="618"/>
      <c r="H95" s="618"/>
      <c r="I95" s="619"/>
      <c r="J95" s="620"/>
      <c r="K95" s="616"/>
      <c r="L95" s="616"/>
      <c r="M95" s="616"/>
      <c r="N95" s="616"/>
      <c r="O95" s="621" t="str">
        <f>IFERROR(AE95*AF95*AG95, "")</f>
        <v/>
      </c>
      <c r="P95" s="622"/>
      <c r="AC95" s="674">
        <f>(F95+G95-H95-I95)</f>
        <v>0</v>
      </c>
      <c r="AD95" s="674">
        <f>(K95+L95-M95-N95)</f>
        <v>0</v>
      </c>
      <c r="AE95" s="674">
        <f>(J95+AC95+AD95)</f>
        <v>0</v>
      </c>
      <c r="AF95" s="675">
        <v>1E-3</v>
      </c>
      <c r="AG95" s="660" t="str">
        <f>IF(Parameters!$D$19="2007 IPCC Fourth Assessment", _xlfn.IFNA(VLOOKUP(E95, 'Emission Factors'!$B$1029:$H$1196, 4, FALSE), ""), _xlfn.IFNA(VLOOKUP(E95, 'Emission Factors'!$B$1029:$H$1196, 6, FALSE), ""))</f>
        <v/>
      </c>
      <c r="AH95" s="676">
        <v>0</v>
      </c>
    </row>
    <row r="96" spans="2:34" hidden="1">
      <c r="B96" s="525"/>
      <c r="C96" s="574"/>
      <c r="D96" s="616"/>
      <c r="E96" s="527"/>
      <c r="F96" s="623"/>
      <c r="G96" s="616"/>
      <c r="H96" s="616"/>
      <c r="I96" s="624"/>
      <c r="J96" s="620"/>
      <c r="K96" s="616"/>
      <c r="L96" s="616"/>
      <c r="M96" s="616"/>
      <c r="N96" s="616"/>
      <c r="O96" s="621" t="str">
        <f t="shared" ref="O96:O112" si="14">IFERROR(AE96*AF96*AG96, "")</f>
        <v/>
      </c>
      <c r="P96" s="622"/>
      <c r="AC96" s="674">
        <f t="shared" ref="AC96:AC112" si="15">(F96+G96-H96-I96)</f>
        <v>0</v>
      </c>
      <c r="AD96" s="674">
        <f t="shared" ref="AD96:AD112" si="16">(K96+L96-M96-N96)</f>
        <v>0</v>
      </c>
      <c r="AE96" s="674">
        <f t="shared" ref="AE96:AE112" si="17">(J96+AC96+AD96)</f>
        <v>0</v>
      </c>
      <c r="AF96" s="675">
        <v>1E-3</v>
      </c>
      <c r="AG96" s="660" t="str">
        <f>IF(Parameters!$D$19="2007 IPCC Fourth Assessment", _xlfn.IFNA(VLOOKUP(E96, 'Emission Factors'!$B$1029:$H$1196, 4, FALSE), ""), _xlfn.IFNA(VLOOKUP(E96, 'Emission Factors'!$B$1029:$H$1196, 6, FALSE), ""))</f>
        <v/>
      </c>
      <c r="AH96" s="676">
        <v>0</v>
      </c>
    </row>
    <row r="97" spans="2:34" hidden="1">
      <c r="B97" s="525"/>
      <c r="C97" s="574"/>
      <c r="D97" s="616"/>
      <c r="E97" s="527"/>
      <c r="F97" s="623"/>
      <c r="G97" s="616"/>
      <c r="H97" s="616"/>
      <c r="I97" s="624"/>
      <c r="J97" s="620"/>
      <c r="K97" s="616"/>
      <c r="L97" s="616"/>
      <c r="M97" s="616"/>
      <c r="N97" s="616"/>
      <c r="O97" s="621" t="str">
        <f t="shared" si="14"/>
        <v/>
      </c>
      <c r="P97" s="622"/>
      <c r="AC97" s="674">
        <f t="shared" si="15"/>
        <v>0</v>
      </c>
      <c r="AD97" s="674">
        <f t="shared" si="16"/>
        <v>0</v>
      </c>
      <c r="AE97" s="674">
        <f t="shared" si="17"/>
        <v>0</v>
      </c>
      <c r="AF97" s="675">
        <v>1E-3</v>
      </c>
      <c r="AG97" s="660" t="str">
        <f>IF(Parameters!$D$19="2007 IPCC Fourth Assessment", _xlfn.IFNA(VLOOKUP(E97, 'Emission Factors'!$B$1029:$H$1196, 4, FALSE), ""), _xlfn.IFNA(VLOOKUP(E97, 'Emission Factors'!$B$1029:$H$1196, 6, FALSE), ""))</f>
        <v/>
      </c>
      <c r="AH97" s="676">
        <v>0</v>
      </c>
    </row>
    <row r="98" spans="2:34" hidden="1">
      <c r="B98" s="525"/>
      <c r="C98" s="574"/>
      <c r="D98" s="616"/>
      <c r="E98" s="527"/>
      <c r="F98" s="623"/>
      <c r="G98" s="616"/>
      <c r="H98" s="616"/>
      <c r="I98" s="624"/>
      <c r="J98" s="620"/>
      <c r="K98" s="616"/>
      <c r="L98" s="616"/>
      <c r="M98" s="616"/>
      <c r="N98" s="616"/>
      <c r="O98" s="621" t="str">
        <f t="shared" si="14"/>
        <v/>
      </c>
      <c r="P98" s="622"/>
      <c r="AC98" s="674">
        <f t="shared" si="15"/>
        <v>0</v>
      </c>
      <c r="AD98" s="674">
        <f t="shared" si="16"/>
        <v>0</v>
      </c>
      <c r="AE98" s="674">
        <f t="shared" si="17"/>
        <v>0</v>
      </c>
      <c r="AF98" s="675">
        <v>1E-3</v>
      </c>
      <c r="AG98" s="660" t="str">
        <f>IF(Parameters!$D$19="2007 IPCC Fourth Assessment", _xlfn.IFNA(VLOOKUP(E98, 'Emission Factors'!$B$1029:$H$1196, 4, FALSE), ""), _xlfn.IFNA(VLOOKUP(E98, 'Emission Factors'!$B$1029:$H$1196, 6, FALSE), ""))</f>
        <v/>
      </c>
      <c r="AH98" s="676">
        <v>0</v>
      </c>
    </row>
    <row r="99" spans="2:34" hidden="1">
      <c r="B99" s="525"/>
      <c r="C99" s="574"/>
      <c r="D99" s="616"/>
      <c r="E99" s="527"/>
      <c r="F99" s="623"/>
      <c r="G99" s="616"/>
      <c r="H99" s="616"/>
      <c r="I99" s="624"/>
      <c r="J99" s="620"/>
      <c r="K99" s="616"/>
      <c r="L99" s="616"/>
      <c r="M99" s="616"/>
      <c r="N99" s="616"/>
      <c r="O99" s="621" t="str">
        <f t="shared" si="14"/>
        <v/>
      </c>
      <c r="P99" s="622"/>
      <c r="AC99" s="674">
        <f t="shared" si="15"/>
        <v>0</v>
      </c>
      <c r="AD99" s="674">
        <f t="shared" si="16"/>
        <v>0</v>
      </c>
      <c r="AE99" s="674">
        <f t="shared" si="17"/>
        <v>0</v>
      </c>
      <c r="AF99" s="675">
        <v>1E-3</v>
      </c>
      <c r="AG99" s="660" t="str">
        <f>IF(Parameters!$D$19="2007 IPCC Fourth Assessment", _xlfn.IFNA(VLOOKUP(E99, 'Emission Factors'!$B$1029:$H$1196, 4, FALSE), ""), _xlfn.IFNA(VLOOKUP(E99, 'Emission Factors'!$B$1029:$H$1196, 6, FALSE), ""))</f>
        <v/>
      </c>
      <c r="AH99" s="676">
        <v>0</v>
      </c>
    </row>
    <row r="100" spans="2:34" hidden="1">
      <c r="B100" s="525"/>
      <c r="C100" s="574"/>
      <c r="D100" s="616"/>
      <c r="E100" s="527"/>
      <c r="F100" s="623"/>
      <c r="G100" s="616"/>
      <c r="H100" s="616"/>
      <c r="I100" s="624"/>
      <c r="J100" s="620"/>
      <c r="K100" s="616"/>
      <c r="L100" s="616"/>
      <c r="M100" s="616"/>
      <c r="N100" s="616"/>
      <c r="O100" s="621" t="str">
        <f t="shared" si="14"/>
        <v/>
      </c>
      <c r="P100" s="622"/>
      <c r="AC100" s="674">
        <f t="shared" si="15"/>
        <v>0</v>
      </c>
      <c r="AD100" s="674">
        <f t="shared" si="16"/>
        <v>0</v>
      </c>
      <c r="AE100" s="674">
        <f t="shared" si="17"/>
        <v>0</v>
      </c>
      <c r="AF100" s="675">
        <v>1E-3</v>
      </c>
      <c r="AG100" s="660" t="str">
        <f>IF(Parameters!$D$19="2007 IPCC Fourth Assessment", _xlfn.IFNA(VLOOKUP(E100, 'Emission Factors'!$B$1029:$H$1196, 4, FALSE), ""), _xlfn.IFNA(VLOOKUP(E100, 'Emission Factors'!$B$1029:$H$1196, 6, FALSE), ""))</f>
        <v/>
      </c>
      <c r="AH100" s="676">
        <v>0</v>
      </c>
    </row>
    <row r="101" spans="2:34" hidden="1">
      <c r="B101" s="525"/>
      <c r="C101" s="574"/>
      <c r="D101" s="616"/>
      <c r="E101" s="527"/>
      <c r="F101" s="623"/>
      <c r="G101" s="616"/>
      <c r="H101" s="616"/>
      <c r="I101" s="624"/>
      <c r="J101" s="620"/>
      <c r="K101" s="616"/>
      <c r="L101" s="616"/>
      <c r="M101" s="616"/>
      <c r="N101" s="616"/>
      <c r="O101" s="621" t="str">
        <f t="shared" si="14"/>
        <v/>
      </c>
      <c r="P101" s="622"/>
      <c r="AC101" s="674">
        <f t="shared" si="15"/>
        <v>0</v>
      </c>
      <c r="AD101" s="674">
        <f t="shared" si="16"/>
        <v>0</v>
      </c>
      <c r="AE101" s="674">
        <f t="shared" si="17"/>
        <v>0</v>
      </c>
      <c r="AF101" s="675">
        <v>1E-3</v>
      </c>
      <c r="AG101" s="660" t="str">
        <f>IF(Parameters!$D$19="2007 IPCC Fourth Assessment", _xlfn.IFNA(VLOOKUP(E101, 'Emission Factors'!$B$1029:$H$1196, 4, FALSE), ""), _xlfn.IFNA(VLOOKUP(E101, 'Emission Factors'!$B$1029:$H$1196, 6, FALSE), ""))</f>
        <v/>
      </c>
      <c r="AH101" s="676">
        <v>0</v>
      </c>
    </row>
    <row r="102" spans="2:34" hidden="1">
      <c r="B102" s="525"/>
      <c r="C102" s="574"/>
      <c r="D102" s="616"/>
      <c r="E102" s="527"/>
      <c r="F102" s="623"/>
      <c r="G102" s="616"/>
      <c r="H102" s="616"/>
      <c r="I102" s="624"/>
      <c r="J102" s="620"/>
      <c r="K102" s="616"/>
      <c r="L102" s="616"/>
      <c r="M102" s="616"/>
      <c r="N102" s="616"/>
      <c r="O102" s="621" t="str">
        <f t="shared" si="14"/>
        <v/>
      </c>
      <c r="P102" s="622"/>
      <c r="AC102" s="674">
        <f t="shared" si="15"/>
        <v>0</v>
      </c>
      <c r="AD102" s="674">
        <f t="shared" si="16"/>
        <v>0</v>
      </c>
      <c r="AE102" s="674">
        <f t="shared" si="17"/>
        <v>0</v>
      </c>
      <c r="AF102" s="675">
        <v>1E-3</v>
      </c>
      <c r="AG102" s="660" t="str">
        <f>IF(Parameters!$D$19="2007 IPCC Fourth Assessment", _xlfn.IFNA(VLOOKUP(E102, 'Emission Factors'!$B$1029:$H$1196, 4, FALSE), ""), _xlfn.IFNA(VLOOKUP(E102, 'Emission Factors'!$B$1029:$H$1196, 6, FALSE), ""))</f>
        <v/>
      </c>
      <c r="AH102" s="676">
        <v>0</v>
      </c>
    </row>
    <row r="103" spans="2:34" hidden="1">
      <c r="B103" s="525"/>
      <c r="C103" s="574"/>
      <c r="D103" s="616"/>
      <c r="E103" s="527"/>
      <c r="F103" s="623"/>
      <c r="G103" s="616"/>
      <c r="H103" s="616"/>
      <c r="I103" s="624"/>
      <c r="J103" s="620"/>
      <c r="K103" s="616"/>
      <c r="L103" s="616"/>
      <c r="M103" s="616"/>
      <c r="N103" s="616"/>
      <c r="O103" s="621" t="str">
        <f t="shared" si="14"/>
        <v/>
      </c>
      <c r="P103" s="622"/>
      <c r="AC103" s="674">
        <f t="shared" si="15"/>
        <v>0</v>
      </c>
      <c r="AD103" s="674">
        <f t="shared" si="16"/>
        <v>0</v>
      </c>
      <c r="AE103" s="674">
        <f t="shared" si="17"/>
        <v>0</v>
      </c>
      <c r="AF103" s="675">
        <v>1E-3</v>
      </c>
      <c r="AG103" s="660" t="str">
        <f>IF(Parameters!$D$19="2007 IPCC Fourth Assessment", _xlfn.IFNA(VLOOKUP(E103, 'Emission Factors'!$B$1029:$H$1196, 4, FALSE), ""), _xlfn.IFNA(VLOOKUP(E103, 'Emission Factors'!$B$1029:$H$1196, 6, FALSE), ""))</f>
        <v/>
      </c>
      <c r="AH103" s="676">
        <v>0</v>
      </c>
    </row>
    <row r="104" spans="2:34" hidden="1">
      <c r="B104" s="525"/>
      <c r="C104" s="574"/>
      <c r="D104" s="616"/>
      <c r="E104" s="527"/>
      <c r="F104" s="623"/>
      <c r="G104" s="616"/>
      <c r="H104" s="616"/>
      <c r="I104" s="624"/>
      <c r="J104" s="620"/>
      <c r="K104" s="616"/>
      <c r="L104" s="616"/>
      <c r="M104" s="616"/>
      <c r="N104" s="616"/>
      <c r="O104" s="621" t="str">
        <f t="shared" si="14"/>
        <v/>
      </c>
      <c r="P104" s="622"/>
      <c r="AC104" s="674">
        <f t="shared" si="15"/>
        <v>0</v>
      </c>
      <c r="AD104" s="674">
        <f t="shared" si="16"/>
        <v>0</v>
      </c>
      <c r="AE104" s="674">
        <f t="shared" si="17"/>
        <v>0</v>
      </c>
      <c r="AF104" s="675">
        <v>1E-3</v>
      </c>
      <c r="AG104" s="660" t="str">
        <f>IF(Parameters!$D$19="2007 IPCC Fourth Assessment", _xlfn.IFNA(VLOOKUP(E104, 'Emission Factors'!$B$1029:$H$1196, 4, FALSE), ""), _xlfn.IFNA(VLOOKUP(E104, 'Emission Factors'!$B$1029:$H$1196, 6, FALSE), ""))</f>
        <v/>
      </c>
      <c r="AH104" s="676">
        <v>0</v>
      </c>
    </row>
    <row r="105" spans="2:34" hidden="1">
      <c r="B105" s="525"/>
      <c r="C105" s="574"/>
      <c r="D105" s="616"/>
      <c r="E105" s="527"/>
      <c r="F105" s="623"/>
      <c r="G105" s="616"/>
      <c r="H105" s="616"/>
      <c r="I105" s="624"/>
      <c r="J105" s="620"/>
      <c r="K105" s="616"/>
      <c r="L105" s="616"/>
      <c r="M105" s="616"/>
      <c r="N105" s="616"/>
      <c r="O105" s="621" t="str">
        <f t="shared" si="14"/>
        <v/>
      </c>
      <c r="P105" s="622"/>
      <c r="AC105" s="674">
        <f t="shared" si="15"/>
        <v>0</v>
      </c>
      <c r="AD105" s="674">
        <f t="shared" si="16"/>
        <v>0</v>
      </c>
      <c r="AE105" s="674">
        <f t="shared" si="17"/>
        <v>0</v>
      </c>
      <c r="AF105" s="675">
        <v>1E-3</v>
      </c>
      <c r="AG105" s="660" t="str">
        <f>IF(Parameters!$D$19="2007 IPCC Fourth Assessment", _xlfn.IFNA(VLOOKUP(E105, 'Emission Factors'!$B$1029:$H$1196, 4, FALSE), ""), _xlfn.IFNA(VLOOKUP(E105, 'Emission Factors'!$B$1029:$H$1196, 6, FALSE), ""))</f>
        <v/>
      </c>
      <c r="AH105" s="676">
        <v>0</v>
      </c>
    </row>
    <row r="106" spans="2:34" hidden="1">
      <c r="B106" s="525"/>
      <c r="C106" s="574"/>
      <c r="D106" s="616"/>
      <c r="E106" s="527"/>
      <c r="F106" s="623"/>
      <c r="G106" s="616"/>
      <c r="H106" s="616"/>
      <c r="I106" s="624"/>
      <c r="J106" s="620"/>
      <c r="K106" s="616"/>
      <c r="L106" s="616"/>
      <c r="M106" s="616"/>
      <c r="N106" s="616"/>
      <c r="O106" s="621" t="str">
        <f t="shared" si="14"/>
        <v/>
      </c>
      <c r="P106" s="622"/>
      <c r="AC106" s="674">
        <f t="shared" si="15"/>
        <v>0</v>
      </c>
      <c r="AD106" s="674">
        <f t="shared" si="16"/>
        <v>0</v>
      </c>
      <c r="AE106" s="674">
        <f t="shared" si="17"/>
        <v>0</v>
      </c>
      <c r="AF106" s="675">
        <v>1E-3</v>
      </c>
      <c r="AG106" s="660" t="str">
        <f>IF(Parameters!$D$19="2007 IPCC Fourth Assessment", _xlfn.IFNA(VLOOKUP(E106, 'Emission Factors'!$B$1029:$H$1196, 4, FALSE), ""), _xlfn.IFNA(VLOOKUP(E106, 'Emission Factors'!$B$1029:$H$1196, 6, FALSE), ""))</f>
        <v/>
      </c>
      <c r="AH106" s="676">
        <v>0</v>
      </c>
    </row>
    <row r="107" spans="2:34" hidden="1">
      <c r="B107" s="525"/>
      <c r="C107" s="574"/>
      <c r="D107" s="616"/>
      <c r="E107" s="527"/>
      <c r="F107" s="623"/>
      <c r="G107" s="616"/>
      <c r="H107" s="616"/>
      <c r="I107" s="624"/>
      <c r="J107" s="620"/>
      <c r="K107" s="616"/>
      <c r="L107" s="616"/>
      <c r="M107" s="616"/>
      <c r="N107" s="616"/>
      <c r="O107" s="621" t="str">
        <f t="shared" si="14"/>
        <v/>
      </c>
      <c r="P107" s="622"/>
      <c r="AC107" s="674">
        <f t="shared" si="15"/>
        <v>0</v>
      </c>
      <c r="AD107" s="674">
        <f t="shared" si="16"/>
        <v>0</v>
      </c>
      <c r="AE107" s="674">
        <f t="shared" si="17"/>
        <v>0</v>
      </c>
      <c r="AF107" s="675">
        <v>1E-3</v>
      </c>
      <c r="AG107" s="660" t="str">
        <f>IF(Parameters!$D$19="2007 IPCC Fourth Assessment", _xlfn.IFNA(VLOOKUP(E107, 'Emission Factors'!$B$1029:$H$1196, 4, FALSE), ""), _xlfn.IFNA(VLOOKUP(E107, 'Emission Factors'!$B$1029:$H$1196, 6, FALSE), ""))</f>
        <v/>
      </c>
      <c r="AH107" s="676">
        <v>0</v>
      </c>
    </row>
    <row r="108" spans="2:34" hidden="1">
      <c r="B108" s="525"/>
      <c r="C108" s="574"/>
      <c r="D108" s="616"/>
      <c r="E108" s="527"/>
      <c r="F108" s="623"/>
      <c r="G108" s="616"/>
      <c r="H108" s="616"/>
      <c r="I108" s="624"/>
      <c r="J108" s="620"/>
      <c r="K108" s="616"/>
      <c r="L108" s="616"/>
      <c r="M108" s="616"/>
      <c r="N108" s="616"/>
      <c r="O108" s="621" t="str">
        <f t="shared" si="14"/>
        <v/>
      </c>
      <c r="P108" s="622"/>
      <c r="AC108" s="674">
        <f t="shared" si="15"/>
        <v>0</v>
      </c>
      <c r="AD108" s="674">
        <f t="shared" si="16"/>
        <v>0</v>
      </c>
      <c r="AE108" s="674">
        <f t="shared" si="17"/>
        <v>0</v>
      </c>
      <c r="AF108" s="675">
        <v>1E-3</v>
      </c>
      <c r="AG108" s="660" t="str">
        <f>IF(Parameters!$D$19="2007 IPCC Fourth Assessment", _xlfn.IFNA(VLOOKUP(E108, 'Emission Factors'!$B$1029:$H$1196, 4, FALSE), ""), _xlfn.IFNA(VLOOKUP(E108, 'Emission Factors'!$B$1029:$H$1196, 6, FALSE), ""))</f>
        <v/>
      </c>
      <c r="AH108" s="676">
        <v>0</v>
      </c>
    </row>
    <row r="109" spans="2:34" hidden="1">
      <c r="B109" s="525"/>
      <c r="C109" s="574"/>
      <c r="D109" s="616"/>
      <c r="E109" s="527"/>
      <c r="F109" s="623"/>
      <c r="G109" s="616"/>
      <c r="H109" s="616"/>
      <c r="I109" s="624"/>
      <c r="J109" s="620"/>
      <c r="K109" s="616"/>
      <c r="L109" s="616"/>
      <c r="M109" s="616"/>
      <c r="N109" s="616"/>
      <c r="O109" s="621" t="str">
        <f t="shared" si="14"/>
        <v/>
      </c>
      <c r="P109" s="622"/>
      <c r="AC109" s="674">
        <f t="shared" si="15"/>
        <v>0</v>
      </c>
      <c r="AD109" s="674">
        <f t="shared" si="16"/>
        <v>0</v>
      </c>
      <c r="AE109" s="674">
        <f t="shared" si="17"/>
        <v>0</v>
      </c>
      <c r="AF109" s="675">
        <v>1E-3</v>
      </c>
      <c r="AG109" s="660" t="str">
        <f>IF(Parameters!$D$19="2007 IPCC Fourth Assessment", _xlfn.IFNA(VLOOKUP(E109, 'Emission Factors'!$B$1029:$H$1196, 4, FALSE), ""), _xlfn.IFNA(VLOOKUP(E109, 'Emission Factors'!$B$1029:$H$1196, 6, FALSE), ""))</f>
        <v/>
      </c>
      <c r="AH109" s="676">
        <v>0</v>
      </c>
    </row>
    <row r="110" spans="2:34" hidden="1">
      <c r="B110" s="525"/>
      <c r="C110" s="574"/>
      <c r="D110" s="616"/>
      <c r="E110" s="527"/>
      <c r="F110" s="623"/>
      <c r="G110" s="616"/>
      <c r="H110" s="616"/>
      <c r="I110" s="624"/>
      <c r="J110" s="620"/>
      <c r="K110" s="616"/>
      <c r="L110" s="616"/>
      <c r="M110" s="616"/>
      <c r="N110" s="616"/>
      <c r="O110" s="621" t="str">
        <f t="shared" si="14"/>
        <v/>
      </c>
      <c r="P110" s="622"/>
      <c r="AC110" s="674">
        <f t="shared" si="15"/>
        <v>0</v>
      </c>
      <c r="AD110" s="674">
        <f t="shared" si="16"/>
        <v>0</v>
      </c>
      <c r="AE110" s="674">
        <f t="shared" si="17"/>
        <v>0</v>
      </c>
      <c r="AF110" s="675">
        <v>1E-3</v>
      </c>
      <c r="AG110" s="660" t="str">
        <f>IF(Parameters!$D$19="2007 IPCC Fourth Assessment", _xlfn.IFNA(VLOOKUP(E110, 'Emission Factors'!$B$1029:$H$1196, 4, FALSE), ""), _xlfn.IFNA(VLOOKUP(E110, 'Emission Factors'!$B$1029:$H$1196, 6, FALSE), ""))</f>
        <v/>
      </c>
      <c r="AH110" s="676">
        <v>0</v>
      </c>
    </row>
    <row r="111" spans="2:34" hidden="1">
      <c r="B111" s="525"/>
      <c r="C111" s="574"/>
      <c r="D111" s="616"/>
      <c r="E111" s="527"/>
      <c r="F111" s="623"/>
      <c r="G111" s="616"/>
      <c r="H111" s="616"/>
      <c r="I111" s="624"/>
      <c r="J111" s="620"/>
      <c r="K111" s="616"/>
      <c r="L111" s="616"/>
      <c r="M111" s="616"/>
      <c r="N111" s="616"/>
      <c r="O111" s="621" t="str">
        <f t="shared" si="14"/>
        <v/>
      </c>
      <c r="P111" s="622"/>
      <c r="AC111" s="674">
        <f t="shared" si="15"/>
        <v>0</v>
      </c>
      <c r="AD111" s="674">
        <f t="shared" si="16"/>
        <v>0</v>
      </c>
      <c r="AE111" s="674">
        <f t="shared" si="17"/>
        <v>0</v>
      </c>
      <c r="AF111" s="675">
        <v>1E-3</v>
      </c>
      <c r="AG111" s="660" t="str">
        <f>IF(Parameters!$D$19="2007 IPCC Fourth Assessment", _xlfn.IFNA(VLOOKUP(E111, 'Emission Factors'!$B$1029:$H$1196, 4, FALSE), ""), _xlfn.IFNA(VLOOKUP(E111, 'Emission Factors'!$B$1029:$H$1196, 6, FALSE), ""))</f>
        <v/>
      </c>
      <c r="AH111" s="676">
        <v>0</v>
      </c>
    </row>
    <row r="112" spans="2:34" ht="15.75" hidden="1" thickBot="1">
      <c r="B112" s="525"/>
      <c r="C112" s="574"/>
      <c r="D112" s="616"/>
      <c r="E112" s="527"/>
      <c r="F112" s="625"/>
      <c r="G112" s="626"/>
      <c r="H112" s="626"/>
      <c r="I112" s="627"/>
      <c r="J112" s="620"/>
      <c r="K112" s="616"/>
      <c r="L112" s="616"/>
      <c r="M112" s="616"/>
      <c r="N112" s="616"/>
      <c r="O112" s="621" t="str">
        <f t="shared" si="14"/>
        <v/>
      </c>
      <c r="P112" s="622"/>
      <c r="AC112" s="674">
        <f t="shared" si="15"/>
        <v>0</v>
      </c>
      <c r="AD112" s="674">
        <f t="shared" si="16"/>
        <v>0</v>
      </c>
      <c r="AE112" s="674">
        <f t="shared" si="17"/>
        <v>0</v>
      </c>
      <c r="AF112" s="675">
        <v>1E-3</v>
      </c>
      <c r="AG112" s="660" t="str">
        <f>IF(Parameters!$D$19="2007 IPCC Fourth Assessment", _xlfn.IFNA(VLOOKUP(E112, 'Emission Factors'!$B$1029:$H$1196, 4, FALSE), ""), _xlfn.IFNA(VLOOKUP(E112, 'Emission Factors'!$B$1029:$H$1196, 6, FALSE), ""))</f>
        <v/>
      </c>
      <c r="AH112" s="676">
        <v>0</v>
      </c>
    </row>
    <row r="113" spans="2:34" ht="15.75" hidden="1" thickBot="1">
      <c r="B113" s="545"/>
      <c r="C113" s="545"/>
      <c r="D113" s="628" t="s">
        <v>1344</v>
      </c>
      <c r="E113" s="629"/>
      <c r="F113" s="604"/>
      <c r="G113" s="604"/>
      <c r="H113" s="604"/>
      <c r="I113" s="604"/>
      <c r="J113" s="604"/>
      <c r="K113" s="604"/>
      <c r="L113" s="547" t="s">
        <v>1314</v>
      </c>
      <c r="M113" s="589"/>
      <c r="N113" s="590"/>
      <c r="O113" s="630">
        <f>SUM(O95:O112)</f>
        <v>0</v>
      </c>
      <c r="P113" s="605"/>
      <c r="AD113" s="677"/>
      <c r="AE113" s="677"/>
      <c r="AF113" s="678" t="s">
        <v>1345</v>
      </c>
      <c r="AG113" s="679"/>
      <c r="AH113" s="680"/>
    </row>
    <row r="114" spans="2:34" hidden="1">
      <c r="B114" s="546"/>
      <c r="C114" s="546"/>
      <c r="D114" s="631" t="s">
        <v>1346</v>
      </c>
      <c r="E114" s="632"/>
      <c r="F114" s="632"/>
      <c r="G114" s="632"/>
      <c r="H114" s="632"/>
      <c r="I114" s="632"/>
      <c r="J114" s="632"/>
      <c r="K114" s="632"/>
      <c r="L114" s="632"/>
      <c r="M114" s="632"/>
      <c r="N114" s="632"/>
      <c r="O114" s="632"/>
      <c r="P114" s="605"/>
    </row>
    <row r="115" spans="2:34" hidden="1">
      <c r="B115" s="546"/>
      <c r="C115" s="546"/>
      <c r="D115" s="633"/>
      <c r="E115" s="634"/>
      <c r="F115" s="634"/>
      <c r="G115" s="634"/>
      <c r="H115" s="634"/>
      <c r="I115" s="634"/>
      <c r="J115" s="634"/>
      <c r="K115" s="634"/>
      <c r="L115" s="634"/>
      <c r="M115" s="634"/>
      <c r="N115" s="634"/>
      <c r="O115" s="634"/>
      <c r="P115" s="609"/>
    </row>
    <row r="116" spans="2:34" hidden="1"/>
    <row r="117" spans="2:34" hidden="1"/>
  </sheetData>
  <mergeCells count="94">
    <mergeCell ref="B33:B34"/>
    <mergeCell ref="B10:C10"/>
    <mergeCell ref="B63:B64"/>
    <mergeCell ref="B93:B94"/>
    <mergeCell ref="C33:C34"/>
    <mergeCell ref="C63:C64"/>
    <mergeCell ref="C93:C94"/>
    <mergeCell ref="B23:C23"/>
    <mergeCell ref="S29:V29"/>
    <mergeCell ref="S31:W31"/>
    <mergeCell ref="D91:E91"/>
    <mergeCell ref="L93:L94"/>
    <mergeCell ref="O93:O94"/>
    <mergeCell ref="D93:D94"/>
    <mergeCell ref="G93:G94"/>
    <mergeCell ref="K93:K94"/>
    <mergeCell ref="E93:E94"/>
    <mergeCell ref="F93:F94"/>
    <mergeCell ref="J93:J94"/>
    <mergeCell ref="F91:I91"/>
    <mergeCell ref="K91:N91"/>
    <mergeCell ref="Q61:T61"/>
    <mergeCell ref="R63:R64"/>
    <mergeCell ref="S63:S64"/>
    <mergeCell ref="D16:H16"/>
    <mergeCell ref="D20:H20"/>
    <mergeCell ref="Z63:Z64"/>
    <mergeCell ref="H63:H64"/>
    <mergeCell ref="N63:N64"/>
    <mergeCell ref="O63:O64"/>
    <mergeCell ref="P63:P64"/>
    <mergeCell ref="D61:E61"/>
    <mergeCell ref="F61:G61"/>
    <mergeCell ref="H61:K61"/>
    <mergeCell ref="L61:P61"/>
    <mergeCell ref="I63:I64"/>
    <mergeCell ref="J63:J64"/>
    <mergeCell ref="K63:K64"/>
    <mergeCell ref="D63:D64"/>
    <mergeCell ref="E63:E64"/>
    <mergeCell ref="AH93:AH94"/>
    <mergeCell ref="AB63:AB64"/>
    <mergeCell ref="AC63:AC64"/>
    <mergeCell ref="AD63:AD64"/>
    <mergeCell ref="AE63:AE64"/>
    <mergeCell ref="AF63:AF64"/>
    <mergeCell ref="AG63:AG64"/>
    <mergeCell ref="AC93:AC94"/>
    <mergeCell ref="AD93:AD94"/>
    <mergeCell ref="AE93:AE94"/>
    <mergeCell ref="AF93:AF94"/>
    <mergeCell ref="AG93:AG94"/>
    <mergeCell ref="AA63:AA64"/>
    <mergeCell ref="N93:N94"/>
    <mergeCell ref="M93:M94"/>
    <mergeCell ref="H93:H94"/>
    <mergeCell ref="I93:I94"/>
    <mergeCell ref="L63:L64"/>
    <mergeCell ref="M63:M64"/>
    <mergeCell ref="T63:T64"/>
    <mergeCell ref="U63:U64"/>
    <mergeCell ref="Q63:Q64"/>
    <mergeCell ref="O33:O34"/>
    <mergeCell ref="F63:F64"/>
    <mergeCell ref="G63:G64"/>
    <mergeCell ref="AF33:AF34"/>
    <mergeCell ref="AH33:AH34"/>
    <mergeCell ref="AG33:AG34"/>
    <mergeCell ref="AC33:AC34"/>
    <mergeCell ref="AE33:AE34"/>
    <mergeCell ref="AB33:AB34"/>
    <mergeCell ref="AD33:AD34"/>
    <mergeCell ref="P33:P34"/>
    <mergeCell ref="V33:V34"/>
    <mergeCell ref="W33:W34"/>
    <mergeCell ref="T33:T34"/>
    <mergeCell ref="U33:U34"/>
    <mergeCell ref="S33:S34"/>
    <mergeCell ref="H31:J31"/>
    <mergeCell ref="D12:H12"/>
    <mergeCell ref="L33:L34"/>
    <mergeCell ref="M33:M34"/>
    <mergeCell ref="D31:E31"/>
    <mergeCell ref="D33:D34"/>
    <mergeCell ref="E33:E34"/>
    <mergeCell ref="F33:F34"/>
    <mergeCell ref="G33:G34"/>
    <mergeCell ref="F31:G31"/>
    <mergeCell ref="K31:O31"/>
    <mergeCell ref="I33:I34"/>
    <mergeCell ref="J33:J34"/>
    <mergeCell ref="K33:K34"/>
    <mergeCell ref="H33:H34"/>
    <mergeCell ref="N33:N34"/>
  </mergeCells>
  <phoneticPr fontId="35" type="noConversion"/>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8200D773-7F6F-4470-A142-A745C34761A2}">
          <x14:formula1>
            <xm:f>Dropdowns!$H$1:$H$4</xm:f>
          </x14:formula1>
          <xm:sqref>D23</xm:sqref>
        </x14:dataValidation>
        <x14:dataValidation type="list" allowBlank="1" showInputMessage="1" showErrorMessage="1" xr:uid="{2C3D5179-D2CE-4C7E-94A6-A7D55AAC8E13}">
          <x14:formula1>
            <xm:f>Parameters!$C$31:$C$36</xm:f>
          </x14:formula1>
          <xm:sqref>B35:B52 B65:B82 B95:B112</xm:sqref>
        </x14:dataValidation>
        <x14:dataValidation type="list" allowBlank="1" showInputMessage="1" showErrorMessage="1" xr:uid="{7529B18F-1A8E-45A4-8D32-CE91E045ED5F}">
          <x14:formula1>
            <xm:f>Parameters!$F$43:$F$52</xm:f>
          </x14:formula1>
          <xm:sqref>C35:C52 C65:C82 C95:C112</xm:sqref>
        </x14:dataValidation>
        <x14:dataValidation type="list" allowBlank="1" showInputMessage="1" showErrorMessage="1" xr:uid="{98EE2F03-15A3-492B-ABFD-41EFFF8630D1}">
          <x14:formula1>
            <xm:f>Dropdowns!$H$14:$H$129</xm:f>
          </x14:formula1>
          <xm:sqref>E35:E52 E65:E82 E95:E112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C33F7-6F0B-4C2C-9D9C-6295EF1CE7A3}">
  <sheetPr codeName="Sheet7">
    <tabColor rgb="FFC00000"/>
  </sheetPr>
  <dimension ref="B1:P69"/>
  <sheetViews>
    <sheetView showGridLines="0" showRowColHeaders="0" topLeftCell="C13" zoomScale="115" zoomScaleNormal="115" workbookViewId="0">
      <selection activeCell="G29" sqref="G29"/>
    </sheetView>
  </sheetViews>
  <sheetFormatPr baseColWidth="10" defaultColWidth="9.140625" defaultRowHeight="15"/>
  <cols>
    <col min="2" max="2" width="8.7109375"/>
    <col min="3" max="4" width="20.7109375" customWidth="1"/>
    <col min="5" max="5" width="37.140625" customWidth="1"/>
    <col min="6" max="6" width="20.7109375" customWidth="1"/>
    <col min="7" max="7" width="45.42578125" customWidth="1"/>
    <col min="8" max="8" width="41.5703125" customWidth="1"/>
    <col min="9" max="9" width="18.7109375" customWidth="1"/>
    <col min="10" max="10" width="13.7109375" customWidth="1"/>
    <col min="11" max="11" width="13.42578125" customWidth="1"/>
    <col min="12" max="12" width="14" customWidth="1"/>
    <col min="13" max="13" width="18.42578125" customWidth="1"/>
    <col min="14" max="14" width="16.140625" customWidth="1"/>
    <col min="15" max="15" width="83.28515625" customWidth="1"/>
  </cols>
  <sheetData>
    <row r="1" spans="2:16" s="376" customFormat="1"/>
    <row r="2" spans="2:16" s="376" customFormat="1"/>
    <row r="3" spans="2:16" s="376" customFormat="1"/>
    <row r="4" spans="2:16" s="376" customFormat="1"/>
    <row r="5" spans="2:16" s="376" customFormat="1"/>
    <row r="6" spans="2:16" s="376" customFormat="1"/>
    <row r="7" spans="2:16" s="376" customFormat="1"/>
    <row r="8" spans="2:16" s="325" customFormat="1" ht="26.25">
      <c r="B8" s="488" t="s">
        <v>32</v>
      </c>
      <c r="C8" s="326"/>
    </row>
    <row r="9" spans="2:16" s="373" customFormat="1" ht="21.75" thickBot="1">
      <c r="C9" s="372"/>
    </row>
    <row r="10" spans="2:16" s="373" customFormat="1" ht="21">
      <c r="C10" s="436"/>
      <c r="D10" s="431"/>
      <c r="E10" s="431"/>
      <c r="F10" s="431"/>
      <c r="G10" s="431"/>
      <c r="H10" s="432"/>
    </row>
    <row r="11" spans="2:16" s="373" customFormat="1" ht="37.15" customHeight="1">
      <c r="C11" s="919" t="s">
        <v>1362</v>
      </c>
      <c r="D11" s="920"/>
      <c r="E11" s="920"/>
      <c r="F11" s="920"/>
      <c r="G11" s="920"/>
      <c r="H11" s="921"/>
      <c r="I11" s="360"/>
      <c r="J11" s="360"/>
      <c r="K11" s="360"/>
      <c r="L11" s="360"/>
      <c r="M11" s="360"/>
      <c r="N11" s="360"/>
      <c r="O11" s="360"/>
      <c r="P11" s="360"/>
    </row>
    <row r="12" spans="2:16" s="373" customFormat="1" ht="13.9" customHeight="1">
      <c r="C12" s="437"/>
      <c r="D12" s="416"/>
      <c r="E12" s="416"/>
      <c r="F12" s="416"/>
      <c r="G12" s="416"/>
      <c r="H12" s="438"/>
    </row>
    <row r="13" spans="2:16" s="373" customFormat="1" ht="78" customHeight="1">
      <c r="C13" s="919" t="s">
        <v>1363</v>
      </c>
      <c r="D13" s="920"/>
      <c r="E13" s="920"/>
      <c r="F13" s="920"/>
      <c r="G13" s="416"/>
      <c r="H13" s="438"/>
    </row>
    <row r="14" spans="2:16" s="373" customFormat="1" ht="10.9" customHeight="1">
      <c r="C14" s="437"/>
      <c r="D14" s="416"/>
      <c r="E14" s="416"/>
      <c r="F14" s="416"/>
      <c r="G14" s="416"/>
      <c r="H14" s="438"/>
    </row>
    <row r="15" spans="2:16" s="373" customFormat="1" ht="21" customHeight="1">
      <c r="C15" s="426" t="s">
        <v>1205</v>
      </c>
      <c r="D15" s="416"/>
      <c r="E15" s="416"/>
      <c r="F15" s="416"/>
      <c r="G15" s="416"/>
      <c r="H15" s="438"/>
    </row>
    <row r="16" spans="2:16" s="373" customFormat="1" ht="21" customHeight="1">
      <c r="C16" s="428"/>
      <c r="D16" s="416"/>
      <c r="E16" s="416"/>
      <c r="F16" s="416"/>
      <c r="G16" s="416"/>
      <c r="H16" s="438"/>
    </row>
    <row r="17" spans="3:15" ht="18.75">
      <c r="C17" s="439" t="s">
        <v>1364</v>
      </c>
      <c r="D17" s="375"/>
      <c r="E17" s="375"/>
      <c r="F17" s="375"/>
      <c r="G17" s="375"/>
      <c r="H17" s="427"/>
    </row>
    <row r="18" spans="3:15" ht="18.399999999999999" customHeight="1">
      <c r="C18" s="439" t="s">
        <v>1365</v>
      </c>
      <c r="D18" s="375"/>
      <c r="E18" s="375"/>
      <c r="F18" s="375"/>
      <c r="G18" s="375"/>
      <c r="H18" s="427"/>
    </row>
    <row r="19" spans="3:15" ht="18.75">
      <c r="C19" s="439" t="s">
        <v>1366</v>
      </c>
      <c r="D19" s="375"/>
      <c r="E19" s="375"/>
      <c r="F19" s="375"/>
      <c r="G19" s="375"/>
      <c r="H19" s="427"/>
    </row>
    <row r="20" spans="3:15" ht="18.75">
      <c r="C20" s="439"/>
      <c r="D20" s="375"/>
      <c r="E20" s="375"/>
      <c r="F20" s="375"/>
      <c r="G20" s="375"/>
      <c r="H20" s="427"/>
    </row>
    <row r="21" spans="3:15" ht="18.75">
      <c r="C21" s="439" t="s">
        <v>1367</v>
      </c>
      <c r="D21" s="375"/>
      <c r="E21" s="375"/>
      <c r="F21" s="375"/>
      <c r="G21" s="375"/>
      <c r="H21" s="427"/>
    </row>
    <row r="22" spans="3:15" ht="18.75">
      <c r="C22" s="439" t="s">
        <v>1368</v>
      </c>
      <c r="D22" s="375"/>
      <c r="E22" s="375"/>
      <c r="F22" s="375"/>
      <c r="G22" s="375"/>
      <c r="H22" s="427"/>
    </row>
    <row r="23" spans="3:15" ht="15.75" thickBot="1">
      <c r="C23" s="440"/>
      <c r="D23" s="635"/>
      <c r="E23" s="635"/>
      <c r="F23" s="635"/>
      <c r="G23" s="635"/>
      <c r="H23" s="636"/>
    </row>
    <row r="25" spans="3:15" ht="18.75">
      <c r="C25" s="916" t="s">
        <v>1206</v>
      </c>
      <c r="D25" s="917"/>
      <c r="E25" s="917"/>
      <c r="F25" s="917"/>
      <c r="G25" s="917"/>
      <c r="H25" s="917"/>
      <c r="I25" s="918"/>
      <c r="J25" s="916" t="s">
        <v>1207</v>
      </c>
      <c r="K25" s="917"/>
      <c r="L25" s="917"/>
      <c r="M25" s="918"/>
      <c r="N25" s="990" t="s">
        <v>1208</v>
      </c>
      <c r="O25" s="991"/>
    </row>
    <row r="26" spans="3:15" ht="34.5">
      <c r="C26" s="640" t="s">
        <v>206</v>
      </c>
      <c r="D26" s="640" t="s">
        <v>63</v>
      </c>
      <c r="E26" s="642" t="s">
        <v>1369</v>
      </c>
      <c r="F26" s="641" t="s">
        <v>111</v>
      </c>
      <c r="G26" s="642" t="s">
        <v>1370</v>
      </c>
      <c r="H26" s="642" t="s">
        <v>1371</v>
      </c>
      <c r="I26" s="642" t="s">
        <v>1372</v>
      </c>
      <c r="J26" s="642" t="s">
        <v>1213</v>
      </c>
      <c r="K26" s="642" t="s">
        <v>1214</v>
      </c>
      <c r="L26" s="642" t="s">
        <v>1215</v>
      </c>
      <c r="M26" s="643" t="s">
        <v>1216</v>
      </c>
      <c r="N26" s="642" t="s">
        <v>1373</v>
      </c>
      <c r="O26" s="644" t="s">
        <v>112</v>
      </c>
    </row>
    <row r="27" spans="3:15">
      <c r="C27" s="646"/>
      <c r="D27" s="645"/>
      <c r="E27" s="647"/>
      <c r="F27" s="646"/>
      <c r="G27" s="646"/>
      <c r="H27" s="646"/>
      <c r="I27" s="646"/>
      <c r="J27"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27"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27"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27" s="388" t="str">
        <f>IFERROR(IF(Parameters!$D$19="2014 IPCC Fifth Assessment", (J27*Data!$AJ$5)+(K27*Data!$AJ$6)+(L27*Data!$AJ$7), (J27*Data!$AI$5)+(K27*Data!$AI$6)+(L27*Data!$AI$7)), "")</f>
        <v/>
      </c>
      <c r="N27"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_xlfn.IFNA(VLOOKUP(VLOOKUP(D27, Table3[[#All],[Facility ID]:[Grid Region]], 2, FALSE), Table5[#All], IF(Parameters!$D$19="2014 IPCC Fifth Assessment", 8, 7), FALSE), ""), IF(Purchased_Electricity[[#This Row],[Type of Emission Factor]]="Residual Mix", _xlfn.IFNA(VLOOKUP(VLOOKUP(D27, Table3[[#All],[Facility ID]:[Grid Region]], 2, FALSE), Table6[#All], IF(Parameters!$D$19="2014 IPCC Fifth Assessment", 8, 7), FALSE), ""), _xlfn.IFNA(VLOOKUP(Purchased_Electricity[[#This Row],[Custom Emission Factor]], Custom_EF[], 9, FALSE), ""))))</f>
        <v/>
      </c>
      <c r="O27"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VLOOKUP(VLOOKUP(D27, Table3[[#All],[Facility ID]:[Grid Region]], 2, FALSE), Table5[#All], 10, FALSE), IF(Purchased_Electricity[[#This Row],[Type of Emission Factor]]="Residual Mix", VLOOKUP(VLOOKUP(D27, Table3[[#All],[Facility ID]:[Grid Region]], 2, FALSE), Table6[#All], 10, FALSE), IF(Purchased_Electricity[[#This Row],[Type of Emission Factor]]="Custom emission factor", VLOOKUP(Purchased_Electricity[[#This Row],[Custom Emission Factor]], Custom_EF[], 4, FALSE), "")))), "")</f>
        <v/>
      </c>
    </row>
    <row r="28" spans="3:15">
      <c r="C28" s="646"/>
      <c r="D28" s="645"/>
      <c r="E28" s="647"/>
      <c r="F28" s="646"/>
      <c r="G28" s="646"/>
      <c r="H28" s="646"/>
      <c r="I28" s="646"/>
      <c r="J28"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28"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28"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28" s="388" t="str">
        <f>IFERROR(IF(Parameters!$D$19="2014 IPCC Fifth Assessment", (J28*Data!$AJ$5)+(K28*Data!$AJ$6)+(L28*Data!$AJ$7), (J28*Data!$AI$5)+(K28*Data!$AI$6)+(L28*Data!$AI$7)), "")</f>
        <v/>
      </c>
      <c r="N28"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_xlfn.IFNA(VLOOKUP(VLOOKUP(D28, Table3[[#All],[Facility ID]:[Grid Region]], 2, FALSE), Table5[#All], IF(Parameters!$D$19="2014 IPCC Fifth Assessment", 8, 7), FALSE), ""), IF(Purchased_Electricity[[#This Row],[Type of Emission Factor]]="Residual Mix", _xlfn.IFNA(VLOOKUP(VLOOKUP(D28, Table3[[#All],[Facility ID]:[Grid Region]], 2, FALSE), Table6[#All], IF(Parameters!$D$19="2014 IPCC Fifth Assessment", 8, 7), FALSE), ""), _xlfn.IFNA(VLOOKUP(Purchased_Electricity[[#This Row],[Custom Emission Factor]], Custom_EF[], 9, FALSE), ""))))</f>
        <v/>
      </c>
      <c r="O28"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VLOOKUP(VLOOKUP(D28, Table3[[#All],[Facility ID]:[Grid Region]], 2, FALSE), Table5[#All], 10, FALSE), IF(Purchased_Electricity[[#This Row],[Type of Emission Factor]]="Residual Mix", VLOOKUP(VLOOKUP(D28, Table3[[#All],[Facility ID]:[Grid Region]], 2, FALSE), Table6[#All], 10, FALSE), IF(Purchased_Electricity[[#This Row],[Type of Emission Factor]]="Custom emission factor", VLOOKUP(Purchased_Electricity[[#This Row],[Custom Emission Factor]], Custom_EF[], 4, FALSE), "")))), "")</f>
        <v/>
      </c>
    </row>
    <row r="29" spans="3:15">
      <c r="C29" s="646"/>
      <c r="D29" s="645"/>
      <c r="E29" s="647"/>
      <c r="F29" s="646"/>
      <c r="G29" s="646"/>
      <c r="H29" s="646"/>
      <c r="I29" s="646"/>
      <c r="J29"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29"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29"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29" s="388" t="str">
        <f>IFERROR(IF(Parameters!$D$19="2014 IPCC Fifth Assessment", (J29*Data!$AJ$5)+(K29*Data!$AJ$6)+(L29*Data!$AJ$7), (J29*Data!$AI$5)+(K29*Data!$AI$6)+(L29*Data!$AI$7)), "")</f>
        <v/>
      </c>
      <c r="N29"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_xlfn.IFNA(VLOOKUP(VLOOKUP(D29, Table3[[#All],[Facility ID]:[Grid Region]], 2, FALSE), Table5[#All], IF(Parameters!$D$19="2014 IPCC Fifth Assessment", 8, 7), FALSE), ""), IF(Purchased_Electricity[[#This Row],[Type of Emission Factor]]="Residual Mix", _xlfn.IFNA(VLOOKUP(VLOOKUP(D29, Table3[[#All],[Facility ID]:[Grid Region]], 2, FALSE), Table6[#All], IF(Parameters!$D$19="2014 IPCC Fifth Assessment", 8, 7), FALSE), ""), _xlfn.IFNA(VLOOKUP(Purchased_Electricity[[#This Row],[Custom Emission Factor]], Custom_EF[], 9, FALSE), ""))))</f>
        <v/>
      </c>
      <c r="O29"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VLOOKUP(VLOOKUP(D29, Table3[[#All],[Facility ID]:[Grid Region]], 2, FALSE), Table5[#All], 10, FALSE), IF(Purchased_Electricity[[#This Row],[Type of Emission Factor]]="Residual Mix", VLOOKUP(VLOOKUP(D29, Table3[[#All],[Facility ID]:[Grid Region]], 2, FALSE), Table6[#All], 10, FALSE), IF(Purchased_Electricity[[#This Row],[Type of Emission Factor]]="Custom emission factor", VLOOKUP(Purchased_Electricity[[#This Row],[Custom Emission Factor]], Custom_EF[], 4, FALSE), "")))), "")</f>
        <v/>
      </c>
    </row>
    <row r="30" spans="3:15">
      <c r="C30" s="646"/>
      <c r="D30" s="645"/>
      <c r="E30" s="647"/>
      <c r="F30" s="646"/>
      <c r="G30" s="646"/>
      <c r="H30" s="646"/>
      <c r="I30" s="646"/>
      <c r="J30"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30"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30"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30" s="388" t="str">
        <f>IFERROR(IF(Parameters!$D$19="2014 IPCC Fifth Assessment", (J30*Data!$AJ$5)+(K30*Data!$AJ$6)+(L30*Data!$AJ$7), (J30*Data!$AI$5)+(K30*Data!$AI$6)+(L30*Data!$AI$7)), "")</f>
        <v/>
      </c>
      <c r="N30"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_xlfn.IFNA(VLOOKUP(VLOOKUP(D30, Table3[[#All],[Facility ID]:[Grid Region]], 2, FALSE), Table5[#All], IF(Parameters!$D$19="2014 IPCC Fifth Assessment", 8, 7), FALSE), ""), IF(Purchased_Electricity[[#This Row],[Type of Emission Factor]]="Residual Mix", _xlfn.IFNA(VLOOKUP(VLOOKUP(D30, Table3[[#All],[Facility ID]:[Grid Region]], 2, FALSE), Table6[#All], IF(Parameters!$D$19="2014 IPCC Fifth Assessment", 8, 7), FALSE), ""), _xlfn.IFNA(VLOOKUP(Purchased_Electricity[[#This Row],[Custom Emission Factor]], Custom_EF[], 9, FALSE), ""))))</f>
        <v/>
      </c>
      <c r="O30"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VLOOKUP(VLOOKUP(D30, Table3[[#All],[Facility ID]:[Grid Region]], 2, FALSE), Table5[#All], 10, FALSE), IF(Purchased_Electricity[[#This Row],[Type of Emission Factor]]="Residual Mix", VLOOKUP(VLOOKUP(D30, Table3[[#All],[Facility ID]:[Grid Region]], 2, FALSE), Table6[#All], 10, FALSE), IF(Purchased_Electricity[[#This Row],[Type of Emission Factor]]="Custom emission factor", VLOOKUP(Purchased_Electricity[[#This Row],[Custom Emission Factor]], Custom_EF[], 4, FALSE), "")))), "")</f>
        <v/>
      </c>
    </row>
    <row r="31" spans="3:15">
      <c r="C31" s="646"/>
      <c r="D31" s="645"/>
      <c r="E31" s="647"/>
      <c r="F31" s="646"/>
      <c r="G31" s="646"/>
      <c r="H31" s="646"/>
      <c r="I31" s="646"/>
      <c r="J31"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31"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31"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31" s="388" t="str">
        <f>IFERROR(IF(Parameters!$D$19="2014 IPCC Fifth Assessment", (J31*Data!$AJ$5)+(K31*Data!$AJ$6)+(L31*Data!$AJ$7), (J31*Data!$AI$5)+(K31*Data!$AI$6)+(L31*Data!$AI$7)), "")</f>
        <v/>
      </c>
      <c r="N31"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_xlfn.IFNA(VLOOKUP(VLOOKUP(D31, Table3[[#All],[Facility ID]:[Grid Region]], 2, FALSE), Table5[#All], IF(Parameters!$D$19="2014 IPCC Fifth Assessment", 8, 7), FALSE), ""), IF(Purchased_Electricity[[#This Row],[Type of Emission Factor]]="Residual Mix", _xlfn.IFNA(VLOOKUP(VLOOKUP(D31, Table3[[#All],[Facility ID]:[Grid Region]], 2, FALSE), Table6[#All], IF(Parameters!$D$19="2014 IPCC Fifth Assessment", 8, 7), FALSE), ""), _xlfn.IFNA(VLOOKUP(Purchased_Electricity[[#This Row],[Custom Emission Factor]], Custom_EF[], 9, FALSE), ""))))</f>
        <v/>
      </c>
      <c r="O31"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VLOOKUP(VLOOKUP(D31, Table3[[#All],[Facility ID]:[Grid Region]], 2, FALSE), Table5[#All], 10, FALSE), IF(Purchased_Electricity[[#This Row],[Type of Emission Factor]]="Residual Mix", VLOOKUP(VLOOKUP(D31, Table3[[#All],[Facility ID]:[Grid Region]], 2, FALSE), Table6[#All], 10, FALSE), IF(Purchased_Electricity[[#This Row],[Type of Emission Factor]]="Custom emission factor", VLOOKUP(Purchased_Electricity[[#This Row],[Custom Emission Factor]], Custom_EF[], 4, FALSE), "")))), "")</f>
        <v/>
      </c>
    </row>
    <row r="32" spans="3:15">
      <c r="C32" s="646"/>
      <c r="D32" s="645"/>
      <c r="E32" s="647"/>
      <c r="F32" s="646"/>
      <c r="G32" s="646"/>
      <c r="H32" s="646"/>
      <c r="I32" s="646"/>
      <c r="J32"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32"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32"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32" s="388" t="str">
        <f>IFERROR(IF(Parameters!$D$19="2014 IPCC Fifth Assessment", (J32*Data!$AJ$5)+(K32*Data!$AJ$6)+(L32*Data!$AJ$7), (J32*Data!$AI$5)+(K32*Data!$AI$6)+(L32*Data!$AI$7)), "")</f>
        <v/>
      </c>
      <c r="N32"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_xlfn.IFNA(VLOOKUP(VLOOKUP(D32, Table3[[#All],[Facility ID]:[Grid Region]], 2, FALSE), Table5[#All], IF(Parameters!$D$19="2014 IPCC Fifth Assessment", 8, 7), FALSE), ""), IF(Purchased_Electricity[[#This Row],[Type of Emission Factor]]="Residual Mix", _xlfn.IFNA(VLOOKUP(VLOOKUP(D32, Table3[[#All],[Facility ID]:[Grid Region]], 2, FALSE), Table6[#All], IF(Parameters!$D$19="2014 IPCC Fifth Assessment", 8, 7), FALSE), ""), _xlfn.IFNA(VLOOKUP(Purchased_Electricity[[#This Row],[Custom Emission Factor]], Custom_EF[], 9, FALSE), ""))))</f>
        <v/>
      </c>
      <c r="O32"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VLOOKUP(VLOOKUP(D32, Table3[[#All],[Facility ID]:[Grid Region]], 2, FALSE), Table5[#All], 10, FALSE), IF(Purchased_Electricity[[#This Row],[Type of Emission Factor]]="Residual Mix", VLOOKUP(VLOOKUP(D32, Table3[[#All],[Facility ID]:[Grid Region]], 2, FALSE), Table6[#All], 10, FALSE), IF(Purchased_Electricity[[#This Row],[Type of Emission Factor]]="Custom emission factor", VLOOKUP(Purchased_Electricity[[#This Row],[Custom Emission Factor]], Custom_EF[], 4, FALSE), "")))), "")</f>
        <v/>
      </c>
    </row>
    <row r="33" spans="3:15">
      <c r="C33" s="646"/>
      <c r="D33" s="645"/>
      <c r="E33" s="647"/>
      <c r="F33" s="646"/>
      <c r="G33" s="646"/>
      <c r="H33" s="646"/>
      <c r="I33" s="646"/>
      <c r="J33"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33"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33"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33" s="388" t="str">
        <f>IFERROR(IF(Parameters!$D$19="2014 IPCC Fifth Assessment", (J33*Data!$AJ$5)+(K33*Data!$AJ$6)+(L33*Data!$AJ$7), (J33*Data!$AI$5)+(K33*Data!$AI$6)+(L33*Data!$AI$7)), "")</f>
        <v/>
      </c>
      <c r="N33"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_xlfn.IFNA(VLOOKUP(VLOOKUP(D33, Table3[[#All],[Facility ID]:[Grid Region]], 2, FALSE), Table5[#All], IF(Parameters!$D$19="2014 IPCC Fifth Assessment", 8, 7), FALSE), ""), IF(Purchased_Electricity[[#This Row],[Type of Emission Factor]]="Residual Mix", _xlfn.IFNA(VLOOKUP(VLOOKUP(D33, Table3[[#All],[Facility ID]:[Grid Region]], 2, FALSE), Table6[#All], IF(Parameters!$D$19="2014 IPCC Fifth Assessment", 8, 7), FALSE), ""), _xlfn.IFNA(VLOOKUP(Purchased_Electricity[[#This Row],[Custom Emission Factor]], Custom_EF[], 9, FALSE), ""))))</f>
        <v/>
      </c>
      <c r="O33"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VLOOKUP(VLOOKUP(D33, Table3[[#All],[Facility ID]:[Grid Region]], 2, FALSE), Table5[#All], 10, FALSE), IF(Purchased_Electricity[[#This Row],[Type of Emission Factor]]="Residual Mix", VLOOKUP(VLOOKUP(D33, Table3[[#All],[Facility ID]:[Grid Region]], 2, FALSE), Table6[#All], 10, FALSE), IF(Purchased_Electricity[[#This Row],[Type of Emission Factor]]="Custom emission factor", VLOOKUP(Purchased_Electricity[[#This Row],[Custom Emission Factor]], Custom_EF[], 4, FALSE), "")))), "")</f>
        <v/>
      </c>
    </row>
    <row r="34" spans="3:15">
      <c r="C34" s="646"/>
      <c r="D34" s="645"/>
      <c r="E34" s="647"/>
      <c r="F34" s="646"/>
      <c r="G34" s="646"/>
      <c r="H34" s="646"/>
      <c r="I34" s="646"/>
      <c r="J34"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34"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34"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34" s="388" t="str">
        <f>IFERROR(IF(Parameters!$D$19="2014 IPCC Fifth Assessment", (J34*Data!$AJ$5)+(K34*Data!$AJ$6)+(L34*Data!$AJ$7), (J34*Data!$AI$5)+(K34*Data!$AI$6)+(L34*Data!$AI$7)), "")</f>
        <v/>
      </c>
      <c r="N34"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_xlfn.IFNA(VLOOKUP(VLOOKUP(D34, Table3[[#All],[Facility ID]:[Grid Region]], 2, FALSE), Table5[#All], IF(Parameters!$D$19="2014 IPCC Fifth Assessment", 8, 7), FALSE), ""), IF(Purchased_Electricity[[#This Row],[Type of Emission Factor]]="Residual Mix", _xlfn.IFNA(VLOOKUP(VLOOKUP(D34, Table3[[#All],[Facility ID]:[Grid Region]], 2, FALSE), Table6[#All], IF(Parameters!$D$19="2014 IPCC Fifth Assessment", 8, 7), FALSE), ""), _xlfn.IFNA(VLOOKUP(Purchased_Electricity[[#This Row],[Custom Emission Factor]], Custom_EF[], 9, FALSE), ""))))</f>
        <v/>
      </c>
      <c r="O34"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VLOOKUP(VLOOKUP(D34, Table3[[#All],[Facility ID]:[Grid Region]], 2, FALSE), Table5[#All], 10, FALSE), IF(Purchased_Electricity[[#This Row],[Type of Emission Factor]]="Residual Mix", VLOOKUP(VLOOKUP(D34, Table3[[#All],[Facility ID]:[Grid Region]], 2, FALSE), Table6[#All], 10, FALSE), IF(Purchased_Electricity[[#This Row],[Type of Emission Factor]]="Custom emission factor", VLOOKUP(Purchased_Electricity[[#This Row],[Custom Emission Factor]], Custom_EF[], 4, FALSE), "")))), "")</f>
        <v/>
      </c>
    </row>
    <row r="35" spans="3:15">
      <c r="C35" s="646"/>
      <c r="D35" s="645"/>
      <c r="E35" s="647"/>
      <c r="F35" s="646"/>
      <c r="G35" s="646"/>
      <c r="H35" s="646"/>
      <c r="I35" s="646"/>
      <c r="J35"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35"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35"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35" s="388" t="str">
        <f>IFERROR(IF(Parameters!$D$19="2014 IPCC Fifth Assessment", (J35*Data!$AJ$5)+(K35*Data!$AJ$6)+(L35*Data!$AJ$7), (J35*Data!$AI$5)+(K35*Data!$AI$6)+(L35*Data!$AI$7)), "")</f>
        <v/>
      </c>
      <c r="N35"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_xlfn.IFNA(VLOOKUP(VLOOKUP(D35, Table3[[#All],[Facility ID]:[Grid Region]], 2, FALSE), Table5[#All], IF(Parameters!$D$19="2014 IPCC Fifth Assessment", 8, 7), FALSE), ""), IF(Purchased_Electricity[[#This Row],[Type of Emission Factor]]="Residual Mix", _xlfn.IFNA(VLOOKUP(VLOOKUP(D35, Table3[[#All],[Facility ID]:[Grid Region]], 2, FALSE), Table6[#All], IF(Parameters!$D$19="2014 IPCC Fifth Assessment", 8, 7), FALSE), ""), _xlfn.IFNA(VLOOKUP(Purchased_Electricity[[#This Row],[Custom Emission Factor]], Custom_EF[], 9, FALSE), ""))))</f>
        <v/>
      </c>
      <c r="O35"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VLOOKUP(VLOOKUP(D35, Table3[[#All],[Facility ID]:[Grid Region]], 2, FALSE), Table5[#All], 10, FALSE), IF(Purchased_Electricity[[#This Row],[Type of Emission Factor]]="Residual Mix", VLOOKUP(VLOOKUP(D35, Table3[[#All],[Facility ID]:[Grid Region]], 2, FALSE), Table6[#All], 10, FALSE), IF(Purchased_Electricity[[#This Row],[Type of Emission Factor]]="Custom emission factor", VLOOKUP(Purchased_Electricity[[#This Row],[Custom Emission Factor]], Custom_EF[], 4, FALSE), "")))), "")</f>
        <v/>
      </c>
    </row>
    <row r="36" spans="3:15">
      <c r="C36" s="646"/>
      <c r="D36" s="645"/>
      <c r="E36" s="647"/>
      <c r="F36" s="646"/>
      <c r="G36" s="646"/>
      <c r="H36" s="646"/>
      <c r="I36" s="646"/>
      <c r="J36"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36"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36"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36" s="388" t="str">
        <f>IFERROR(IF(Parameters!$D$19="2014 IPCC Fifth Assessment", (J36*Data!$AJ$5)+(K36*Data!$AJ$6)+(L36*Data!$AJ$7), (J36*Data!$AI$5)+(K36*Data!$AI$6)+(L36*Data!$AI$7)), "")</f>
        <v/>
      </c>
      <c r="N36"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_xlfn.IFNA(VLOOKUP(VLOOKUP(D36, Table3[[#All],[Facility ID]:[Grid Region]], 2, FALSE), Table5[#All], IF(Parameters!$D$19="2014 IPCC Fifth Assessment", 8, 7), FALSE), ""), IF(Purchased_Electricity[[#This Row],[Type of Emission Factor]]="Residual Mix", _xlfn.IFNA(VLOOKUP(VLOOKUP(D36, Table3[[#All],[Facility ID]:[Grid Region]], 2, FALSE), Table6[#All], IF(Parameters!$D$19="2014 IPCC Fifth Assessment", 8, 7), FALSE), ""), _xlfn.IFNA(VLOOKUP(Purchased_Electricity[[#This Row],[Custom Emission Factor]], Custom_EF[], 9, FALSE), ""))))</f>
        <v/>
      </c>
      <c r="O36"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VLOOKUP(VLOOKUP(D36, Table3[[#All],[Facility ID]:[Grid Region]], 2, FALSE), Table5[#All], 10, FALSE), IF(Purchased_Electricity[[#This Row],[Type of Emission Factor]]="Residual Mix", VLOOKUP(VLOOKUP(D36, Table3[[#All],[Facility ID]:[Grid Region]], 2, FALSE), Table6[#All], 10, FALSE), IF(Purchased_Electricity[[#This Row],[Type of Emission Factor]]="Custom emission factor", VLOOKUP(Purchased_Electricity[[#This Row],[Custom Emission Factor]], Custom_EF[], 4, FALSE), "")))), "")</f>
        <v/>
      </c>
    </row>
    <row r="37" spans="3:15">
      <c r="C37" s="646"/>
      <c r="D37" s="645"/>
      <c r="E37" s="647"/>
      <c r="F37" s="646"/>
      <c r="G37" s="646"/>
      <c r="H37" s="646"/>
      <c r="I37" s="646"/>
      <c r="J37"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37"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37"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37" s="388" t="str">
        <f>IFERROR(IF(Parameters!$D$19="2014 IPCC Fifth Assessment", (J37*Data!$AJ$5)+(K37*Data!$AJ$6)+(L37*Data!$AJ$7), (J37*Data!$AI$5)+(K37*Data!$AI$6)+(L37*Data!$AI$7)), "")</f>
        <v/>
      </c>
      <c r="N37"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_xlfn.IFNA(VLOOKUP(VLOOKUP(D37, Table3[[#All],[Facility ID]:[Grid Region]], 2, FALSE), Table5[#All], IF(Parameters!$D$19="2014 IPCC Fifth Assessment", 8, 7), FALSE), ""), IF(Purchased_Electricity[[#This Row],[Type of Emission Factor]]="Residual Mix", _xlfn.IFNA(VLOOKUP(VLOOKUP(D37, Table3[[#All],[Facility ID]:[Grid Region]], 2, FALSE), Table6[#All], IF(Parameters!$D$19="2014 IPCC Fifth Assessment", 8, 7), FALSE), ""), _xlfn.IFNA(VLOOKUP(Purchased_Electricity[[#This Row],[Custom Emission Factor]], Custom_EF[], 9, FALSE), ""))))</f>
        <v/>
      </c>
      <c r="O37"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VLOOKUP(VLOOKUP(D37, Table3[[#All],[Facility ID]:[Grid Region]], 2, FALSE), Table5[#All], 10, FALSE), IF(Purchased_Electricity[[#This Row],[Type of Emission Factor]]="Residual Mix", VLOOKUP(VLOOKUP(D37, Table3[[#All],[Facility ID]:[Grid Region]], 2, FALSE), Table6[#All], 10, FALSE), IF(Purchased_Electricity[[#This Row],[Type of Emission Factor]]="Custom emission factor", VLOOKUP(Purchased_Electricity[[#This Row],[Custom Emission Factor]], Custom_EF[], 4, FALSE), "")))), "")</f>
        <v/>
      </c>
    </row>
    <row r="38" spans="3:15">
      <c r="C38" s="646"/>
      <c r="D38" s="645"/>
      <c r="E38" s="647"/>
      <c r="F38" s="646"/>
      <c r="G38" s="646"/>
      <c r="H38" s="646"/>
      <c r="I38" s="646"/>
      <c r="J38"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38"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38"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38" s="388" t="str">
        <f>IFERROR(IF(Parameters!$D$19="2014 IPCC Fifth Assessment", (J38*Data!$AJ$5)+(K38*Data!$AJ$6)+(L38*Data!$AJ$7), (J38*Data!$AI$5)+(K38*Data!$AI$6)+(L38*Data!$AI$7)), "")</f>
        <v/>
      </c>
      <c r="N38"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_xlfn.IFNA(VLOOKUP(VLOOKUP(D38, Table3[[#All],[Facility ID]:[Grid Region]], 2, FALSE), Table5[#All], IF(Parameters!$D$19="2014 IPCC Fifth Assessment", 8, 7), FALSE), ""), IF(Purchased_Electricity[[#This Row],[Type of Emission Factor]]="Residual Mix", _xlfn.IFNA(VLOOKUP(VLOOKUP(D38, Table3[[#All],[Facility ID]:[Grid Region]], 2, FALSE), Table6[#All], IF(Parameters!$D$19="2014 IPCC Fifth Assessment", 8, 7), FALSE), ""), _xlfn.IFNA(VLOOKUP(Purchased_Electricity[[#This Row],[Custom Emission Factor]], Custom_EF[], 9, FALSE), ""))))</f>
        <v/>
      </c>
      <c r="O38"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VLOOKUP(VLOOKUP(D38, Table3[[#All],[Facility ID]:[Grid Region]], 2, FALSE), Table5[#All], 10, FALSE), IF(Purchased_Electricity[[#This Row],[Type of Emission Factor]]="Residual Mix", VLOOKUP(VLOOKUP(D38, Table3[[#All],[Facility ID]:[Grid Region]], 2, FALSE), Table6[#All], 10, FALSE), IF(Purchased_Electricity[[#This Row],[Type of Emission Factor]]="Custom emission factor", VLOOKUP(Purchased_Electricity[[#This Row],[Custom Emission Factor]], Custom_EF[], 4, FALSE), "")))), "")</f>
        <v/>
      </c>
    </row>
    <row r="39" spans="3:15">
      <c r="C39" s="646"/>
      <c r="D39" s="645"/>
      <c r="E39" s="647"/>
      <c r="F39" s="646"/>
      <c r="G39" s="646"/>
      <c r="H39" s="646"/>
      <c r="I39" s="646"/>
      <c r="J39"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39"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39"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39" s="388" t="str">
        <f>IFERROR(IF(Parameters!$D$19="2014 IPCC Fifth Assessment", (J39*Data!$AJ$5)+(K39*Data!$AJ$6)+(L39*Data!$AJ$7), (J39*Data!$AI$5)+(K39*Data!$AI$6)+(L39*Data!$AI$7)), "")</f>
        <v/>
      </c>
      <c r="N39"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_xlfn.IFNA(VLOOKUP(VLOOKUP(D39, Table3[[#All],[Facility ID]:[Grid Region]], 2, FALSE), Table5[#All], IF(Parameters!$D$19="2014 IPCC Fifth Assessment", 8, 7), FALSE), ""), IF(Purchased_Electricity[[#This Row],[Type of Emission Factor]]="Residual Mix", _xlfn.IFNA(VLOOKUP(VLOOKUP(D39, Table3[[#All],[Facility ID]:[Grid Region]], 2, FALSE), Table6[#All], IF(Parameters!$D$19="2014 IPCC Fifth Assessment", 8, 7), FALSE), ""), _xlfn.IFNA(VLOOKUP(Purchased_Electricity[[#This Row],[Custom Emission Factor]], Custom_EF[], 9, FALSE), ""))))</f>
        <v/>
      </c>
      <c r="O39"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VLOOKUP(VLOOKUP(D39, Table3[[#All],[Facility ID]:[Grid Region]], 2, FALSE), Table5[#All], 10, FALSE), IF(Purchased_Electricity[[#This Row],[Type of Emission Factor]]="Residual Mix", VLOOKUP(VLOOKUP(D39, Table3[[#All],[Facility ID]:[Grid Region]], 2, FALSE), Table6[#All], 10, FALSE), IF(Purchased_Electricity[[#This Row],[Type of Emission Factor]]="Custom emission factor", VLOOKUP(Purchased_Electricity[[#This Row],[Custom Emission Factor]], Custom_EF[], 4, FALSE), "")))), "")</f>
        <v/>
      </c>
    </row>
    <row r="40" spans="3:15">
      <c r="C40" s="646"/>
      <c r="D40" s="645"/>
      <c r="E40" s="647"/>
      <c r="F40" s="646"/>
      <c r="G40" s="646"/>
      <c r="H40" s="646"/>
      <c r="I40" s="646"/>
      <c r="J40"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40"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40"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40" s="388" t="str">
        <f>IFERROR(IF(Parameters!$D$19="2014 IPCC Fifth Assessment", (J40*Data!$AJ$5)+(K40*Data!$AJ$6)+(L40*Data!$AJ$7), (J40*Data!$AI$5)+(K40*Data!$AI$6)+(L40*Data!$AI$7)), "")</f>
        <v/>
      </c>
      <c r="N40"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_xlfn.IFNA(VLOOKUP(VLOOKUP(D40, Table3[[#All],[Facility ID]:[Grid Region]], 2, FALSE), Table5[#All], IF(Parameters!$D$19="2014 IPCC Fifth Assessment", 8, 7), FALSE), ""), IF(Purchased_Electricity[[#This Row],[Type of Emission Factor]]="Residual Mix", _xlfn.IFNA(VLOOKUP(VLOOKUP(D40, Table3[[#All],[Facility ID]:[Grid Region]], 2, FALSE), Table6[#All], IF(Parameters!$D$19="2014 IPCC Fifth Assessment", 8, 7), FALSE), ""), _xlfn.IFNA(VLOOKUP(Purchased_Electricity[[#This Row],[Custom Emission Factor]], Custom_EF[], 9, FALSE), ""))))</f>
        <v/>
      </c>
      <c r="O40"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VLOOKUP(VLOOKUP(D40, Table3[[#All],[Facility ID]:[Grid Region]], 2, FALSE), Table5[#All], 10, FALSE), IF(Purchased_Electricity[[#This Row],[Type of Emission Factor]]="Residual Mix", VLOOKUP(VLOOKUP(D40, Table3[[#All],[Facility ID]:[Grid Region]], 2, FALSE), Table6[#All], 10, FALSE), IF(Purchased_Electricity[[#This Row],[Type of Emission Factor]]="Custom emission factor", VLOOKUP(Purchased_Electricity[[#This Row],[Custom Emission Factor]], Custom_EF[], 4, FALSE), "")))), "")</f>
        <v/>
      </c>
    </row>
    <row r="41" spans="3:15">
      <c r="C41" s="646"/>
      <c r="D41" s="645"/>
      <c r="E41" s="647"/>
      <c r="F41" s="646"/>
      <c r="G41" s="646"/>
      <c r="H41" s="646"/>
      <c r="I41" s="646"/>
      <c r="J41"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41"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41"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41" s="388" t="str">
        <f>IFERROR(IF(Parameters!$D$19="2014 IPCC Fifth Assessment", (J41*Data!$AJ$5)+(K41*Data!$AJ$6)+(L41*Data!$AJ$7), (J41*Data!$AI$5)+(K41*Data!$AI$6)+(L41*Data!$AI$7)), "")</f>
        <v/>
      </c>
      <c r="N41"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_xlfn.IFNA(VLOOKUP(VLOOKUP(D41, Table3[[#All],[Facility ID]:[Grid Region]], 2, FALSE), Table5[#All], IF(Parameters!$D$19="2014 IPCC Fifth Assessment", 8, 7), FALSE), ""), IF(Purchased_Electricity[[#This Row],[Type of Emission Factor]]="Residual Mix", _xlfn.IFNA(VLOOKUP(VLOOKUP(D41, Table3[[#All],[Facility ID]:[Grid Region]], 2, FALSE), Table6[#All], IF(Parameters!$D$19="2014 IPCC Fifth Assessment", 8, 7), FALSE), ""), _xlfn.IFNA(VLOOKUP(Purchased_Electricity[[#This Row],[Custom Emission Factor]], Custom_EF[], 9, FALSE), ""))))</f>
        <v/>
      </c>
      <c r="O41"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VLOOKUP(VLOOKUP(D41, Table3[[#All],[Facility ID]:[Grid Region]], 2, FALSE), Table5[#All], 10, FALSE), IF(Purchased_Electricity[[#This Row],[Type of Emission Factor]]="Residual Mix", VLOOKUP(VLOOKUP(D41, Table3[[#All],[Facility ID]:[Grid Region]], 2, FALSE), Table6[#All], 10, FALSE), IF(Purchased_Electricity[[#This Row],[Type of Emission Factor]]="Custom emission factor", VLOOKUP(Purchased_Electricity[[#This Row],[Custom Emission Factor]], Custom_EF[], 4, FALSE), "")))), "")</f>
        <v/>
      </c>
    </row>
    <row r="42" spans="3:15">
      <c r="C42" s="646"/>
      <c r="D42" s="645"/>
      <c r="E42" s="647"/>
      <c r="F42" s="646"/>
      <c r="G42" s="646"/>
      <c r="H42" s="646"/>
      <c r="I42" s="646"/>
      <c r="J42"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42"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42"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42" s="388" t="str">
        <f>IFERROR(IF(Parameters!$D$19="2014 IPCC Fifth Assessment", (J42*Data!$AJ$5)+(K42*Data!$AJ$6)+(L42*Data!$AJ$7), (J42*Data!$AI$5)+(K42*Data!$AI$6)+(L42*Data!$AI$7)), "")</f>
        <v/>
      </c>
      <c r="N42"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_xlfn.IFNA(VLOOKUP(VLOOKUP(D42, Table3[[#All],[Facility ID]:[Grid Region]], 2, FALSE), Table5[#All], IF(Parameters!$D$19="2014 IPCC Fifth Assessment", 8, 7), FALSE), ""), IF(Purchased_Electricity[[#This Row],[Type of Emission Factor]]="Residual Mix", _xlfn.IFNA(VLOOKUP(VLOOKUP(D42, Table3[[#All],[Facility ID]:[Grid Region]], 2, FALSE), Table6[#All], IF(Parameters!$D$19="2014 IPCC Fifth Assessment", 8, 7), FALSE), ""), _xlfn.IFNA(VLOOKUP(Purchased_Electricity[[#This Row],[Custom Emission Factor]], Custom_EF[], 9, FALSE), ""))))</f>
        <v/>
      </c>
      <c r="O42"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VLOOKUP(VLOOKUP(D42, Table3[[#All],[Facility ID]:[Grid Region]], 2, FALSE), Table5[#All], 10, FALSE), IF(Purchased_Electricity[[#This Row],[Type of Emission Factor]]="Residual Mix", VLOOKUP(VLOOKUP(D42, Table3[[#All],[Facility ID]:[Grid Region]], 2, FALSE), Table6[#All], 10, FALSE), IF(Purchased_Electricity[[#This Row],[Type of Emission Factor]]="Custom emission factor", VLOOKUP(Purchased_Electricity[[#This Row],[Custom Emission Factor]], Custom_EF[], 4, FALSE), "")))), "")</f>
        <v/>
      </c>
    </row>
    <row r="43" spans="3:15">
      <c r="C43" s="646"/>
      <c r="D43" s="645"/>
      <c r="E43" s="647"/>
      <c r="F43" s="646"/>
      <c r="G43" s="646"/>
      <c r="H43" s="646"/>
      <c r="I43" s="646"/>
      <c r="J43"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43"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43"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43" s="388" t="str">
        <f>IFERROR(IF(Parameters!$D$19="2014 IPCC Fifth Assessment", (J43*Data!$AJ$5)+(K43*Data!$AJ$6)+(L43*Data!$AJ$7), (J43*Data!$AI$5)+(K43*Data!$AI$6)+(L43*Data!$AI$7)), "")</f>
        <v/>
      </c>
      <c r="N43"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_xlfn.IFNA(VLOOKUP(VLOOKUP(D43, Table3[[#All],[Facility ID]:[Grid Region]], 2, FALSE), Table5[#All], IF(Parameters!$D$19="2014 IPCC Fifth Assessment", 8, 7), FALSE), ""), IF(Purchased_Electricity[[#This Row],[Type of Emission Factor]]="Residual Mix", _xlfn.IFNA(VLOOKUP(VLOOKUP(D43, Table3[[#All],[Facility ID]:[Grid Region]], 2, FALSE), Table6[#All], IF(Parameters!$D$19="2014 IPCC Fifth Assessment", 8, 7), FALSE), ""), _xlfn.IFNA(VLOOKUP(Purchased_Electricity[[#This Row],[Custom Emission Factor]], Custom_EF[], 9, FALSE), ""))))</f>
        <v/>
      </c>
      <c r="O43"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VLOOKUP(VLOOKUP(D43, Table3[[#All],[Facility ID]:[Grid Region]], 2, FALSE), Table5[#All], 10, FALSE), IF(Purchased_Electricity[[#This Row],[Type of Emission Factor]]="Residual Mix", VLOOKUP(VLOOKUP(D43, Table3[[#All],[Facility ID]:[Grid Region]], 2, FALSE), Table6[#All], 10, FALSE), IF(Purchased_Electricity[[#This Row],[Type of Emission Factor]]="Custom emission factor", VLOOKUP(Purchased_Electricity[[#This Row],[Custom Emission Factor]], Custom_EF[], 4, FALSE), "")))), "")</f>
        <v/>
      </c>
    </row>
    <row r="44" spans="3:15">
      <c r="C44" s="646"/>
      <c r="D44" s="645"/>
      <c r="E44" s="647"/>
      <c r="F44" s="646"/>
      <c r="G44" s="646"/>
      <c r="H44" s="646"/>
      <c r="I44" s="646"/>
      <c r="J44"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44"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44"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44" s="388" t="str">
        <f>IFERROR(IF(Parameters!$D$19="2014 IPCC Fifth Assessment", (J44*Data!$AJ$5)+(K44*Data!$AJ$6)+(L44*Data!$AJ$7), (J44*Data!$AI$5)+(K44*Data!$AI$6)+(L44*Data!$AI$7)), "")</f>
        <v/>
      </c>
      <c r="N44"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_xlfn.IFNA(VLOOKUP(VLOOKUP(D44, Table3[[#All],[Facility ID]:[Grid Region]], 2, FALSE), Table5[#All], IF(Parameters!$D$19="2014 IPCC Fifth Assessment", 8, 7), FALSE), ""), IF(Purchased_Electricity[[#This Row],[Type of Emission Factor]]="Residual Mix", _xlfn.IFNA(VLOOKUP(VLOOKUP(D44, Table3[[#All],[Facility ID]:[Grid Region]], 2, FALSE), Table6[#All], IF(Parameters!$D$19="2014 IPCC Fifth Assessment", 8, 7), FALSE), ""), _xlfn.IFNA(VLOOKUP(Purchased_Electricity[[#This Row],[Custom Emission Factor]], Custom_EF[], 9, FALSE), ""))))</f>
        <v/>
      </c>
      <c r="O44"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VLOOKUP(VLOOKUP(D44, Table3[[#All],[Facility ID]:[Grid Region]], 2, FALSE), Table5[#All], 10, FALSE), IF(Purchased_Electricity[[#This Row],[Type of Emission Factor]]="Residual Mix", VLOOKUP(VLOOKUP(D44, Table3[[#All],[Facility ID]:[Grid Region]], 2, FALSE), Table6[#All], 10, FALSE), IF(Purchased_Electricity[[#This Row],[Type of Emission Factor]]="Custom emission factor", VLOOKUP(Purchased_Electricity[[#This Row],[Custom Emission Factor]], Custom_EF[], 4, FALSE), "")))), "")</f>
        <v/>
      </c>
    </row>
    <row r="45" spans="3:15">
      <c r="C45" s="646"/>
      <c r="D45" s="645"/>
      <c r="E45" s="647"/>
      <c r="F45" s="646"/>
      <c r="G45" s="646"/>
      <c r="H45" s="646"/>
      <c r="I45" s="646"/>
      <c r="J45"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45"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45"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45" s="388" t="str">
        <f>IFERROR(IF(Parameters!$D$19="2014 IPCC Fifth Assessment", (J45*Data!$AJ$5)+(K45*Data!$AJ$6)+(L45*Data!$AJ$7), (J45*Data!$AI$5)+(K45*Data!$AI$6)+(L45*Data!$AI$7)), "")</f>
        <v/>
      </c>
      <c r="N45"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_xlfn.IFNA(VLOOKUP(VLOOKUP(D45, Table3[[#All],[Facility ID]:[Grid Region]], 2, FALSE), Table5[#All], IF(Parameters!$D$19="2014 IPCC Fifth Assessment", 8, 7), FALSE), ""), IF(Purchased_Electricity[[#This Row],[Type of Emission Factor]]="Residual Mix", _xlfn.IFNA(VLOOKUP(VLOOKUP(D45, Table3[[#All],[Facility ID]:[Grid Region]], 2, FALSE), Table6[#All], IF(Parameters!$D$19="2014 IPCC Fifth Assessment", 8, 7), FALSE), ""), _xlfn.IFNA(VLOOKUP(Purchased_Electricity[[#This Row],[Custom Emission Factor]], Custom_EF[], 9, FALSE), ""))))</f>
        <v/>
      </c>
      <c r="O45"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VLOOKUP(VLOOKUP(D45, Table3[[#All],[Facility ID]:[Grid Region]], 2, FALSE), Table5[#All], 10, FALSE), IF(Purchased_Electricity[[#This Row],[Type of Emission Factor]]="Residual Mix", VLOOKUP(VLOOKUP(D45, Table3[[#All],[Facility ID]:[Grid Region]], 2, FALSE), Table6[#All], 10, FALSE), IF(Purchased_Electricity[[#This Row],[Type of Emission Factor]]="Custom emission factor", VLOOKUP(Purchased_Electricity[[#This Row],[Custom Emission Factor]], Custom_EF[], 4, FALSE), "")))), "")</f>
        <v/>
      </c>
    </row>
    <row r="46" spans="3:15">
      <c r="C46" s="646"/>
      <c r="D46" s="645"/>
      <c r="E46" s="647"/>
      <c r="F46" s="646"/>
      <c r="G46" s="646"/>
      <c r="H46" s="646"/>
      <c r="I46" s="646"/>
      <c r="J46"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46"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46"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46" s="388" t="str">
        <f>IFERROR(IF(Parameters!$D$19="2014 IPCC Fifth Assessment", (J46*Data!$AJ$5)+(K46*Data!$AJ$6)+(L46*Data!$AJ$7), (J46*Data!$AI$5)+(K46*Data!$AI$6)+(L46*Data!$AI$7)), "")</f>
        <v/>
      </c>
      <c r="N46"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_xlfn.IFNA(VLOOKUP(VLOOKUP(D46, Table3[[#All],[Facility ID]:[Grid Region]], 2, FALSE), Table5[#All], IF(Parameters!$D$19="2014 IPCC Fifth Assessment", 8, 7), FALSE), ""), IF(Purchased_Electricity[[#This Row],[Type of Emission Factor]]="Residual Mix", _xlfn.IFNA(VLOOKUP(VLOOKUP(D46, Table3[[#All],[Facility ID]:[Grid Region]], 2, FALSE), Table6[#All], IF(Parameters!$D$19="2014 IPCC Fifth Assessment", 8, 7), FALSE), ""), _xlfn.IFNA(VLOOKUP(Purchased_Electricity[[#This Row],[Custom Emission Factor]], Custom_EF[], 9, FALSE), ""))))</f>
        <v/>
      </c>
      <c r="O46"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VLOOKUP(VLOOKUP(D46, Table3[[#All],[Facility ID]:[Grid Region]], 2, FALSE), Table5[#All], 10, FALSE), IF(Purchased_Electricity[[#This Row],[Type of Emission Factor]]="Residual Mix", VLOOKUP(VLOOKUP(D46, Table3[[#All],[Facility ID]:[Grid Region]], 2, FALSE), Table6[#All], 10, FALSE), IF(Purchased_Electricity[[#This Row],[Type of Emission Factor]]="Custom emission factor", VLOOKUP(Purchased_Electricity[[#This Row],[Custom Emission Factor]], Custom_EF[], 4, FALSE), "")))), "")</f>
        <v/>
      </c>
    </row>
    <row r="47" spans="3:15">
      <c r="C47" s="646"/>
      <c r="D47" s="645"/>
      <c r="E47" s="647"/>
      <c r="F47" s="646"/>
      <c r="G47" s="646"/>
      <c r="H47" s="646"/>
      <c r="I47" s="646"/>
      <c r="J47"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47"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47"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47" s="388" t="str">
        <f>IFERROR(IF(Parameters!$D$19="2014 IPCC Fifth Assessment", (J47*Data!$AJ$5)+(K47*Data!$AJ$6)+(L47*Data!$AJ$7), (J47*Data!$AI$5)+(K47*Data!$AI$6)+(L47*Data!$AI$7)), "")</f>
        <v/>
      </c>
      <c r="N47"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_xlfn.IFNA(VLOOKUP(VLOOKUP(D47, Table3[[#All],[Facility ID]:[Grid Region]], 2, FALSE), Table5[#All], IF(Parameters!$D$19="2014 IPCC Fifth Assessment", 8, 7), FALSE), ""), IF(Purchased_Electricity[[#This Row],[Type of Emission Factor]]="Residual Mix", _xlfn.IFNA(VLOOKUP(VLOOKUP(D47, Table3[[#All],[Facility ID]:[Grid Region]], 2, FALSE), Table6[#All], IF(Parameters!$D$19="2014 IPCC Fifth Assessment", 8, 7), FALSE), ""), _xlfn.IFNA(VLOOKUP(Purchased_Electricity[[#This Row],[Custom Emission Factor]], Custom_EF[], 9, FALSE), ""))))</f>
        <v/>
      </c>
      <c r="O47"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VLOOKUP(VLOOKUP(D47, Table3[[#All],[Facility ID]:[Grid Region]], 2, FALSE), Table5[#All], 10, FALSE), IF(Purchased_Electricity[[#This Row],[Type of Emission Factor]]="Residual Mix", VLOOKUP(VLOOKUP(D47, Table3[[#All],[Facility ID]:[Grid Region]], 2, FALSE), Table6[#All], 10, FALSE), IF(Purchased_Electricity[[#This Row],[Type of Emission Factor]]="Custom emission factor", VLOOKUP(Purchased_Electricity[[#This Row],[Custom Emission Factor]], Custom_EF[], 4, FALSE), "")))), "")</f>
        <v/>
      </c>
    </row>
    <row r="48" spans="3:15">
      <c r="C48" s="646"/>
      <c r="D48" s="645"/>
      <c r="E48" s="647"/>
      <c r="F48" s="646"/>
      <c r="G48" s="646"/>
      <c r="H48" s="646"/>
      <c r="I48" s="646"/>
      <c r="J48"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48"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48"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48" s="388" t="str">
        <f>IFERROR(IF(Parameters!$D$19="2014 IPCC Fifth Assessment", (J48*Data!$AJ$5)+(K48*Data!$AJ$6)+(L48*Data!$AJ$7), (J48*Data!$AI$5)+(K48*Data!$AI$6)+(L48*Data!$AI$7)), "")</f>
        <v/>
      </c>
      <c r="N48"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_xlfn.IFNA(VLOOKUP(VLOOKUP(D48, Table3[[#All],[Facility ID]:[Grid Region]], 2, FALSE), Table5[#All], IF(Parameters!$D$19="2014 IPCC Fifth Assessment", 8, 7), FALSE), ""), IF(Purchased_Electricity[[#This Row],[Type of Emission Factor]]="Residual Mix", _xlfn.IFNA(VLOOKUP(VLOOKUP(D48, Table3[[#All],[Facility ID]:[Grid Region]], 2, FALSE), Table6[#All], IF(Parameters!$D$19="2014 IPCC Fifth Assessment", 8, 7), FALSE), ""), _xlfn.IFNA(VLOOKUP(Purchased_Electricity[[#This Row],[Custom Emission Factor]], Custom_EF[], 9, FALSE), ""))))</f>
        <v/>
      </c>
      <c r="O48"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VLOOKUP(VLOOKUP(D48, Table3[[#All],[Facility ID]:[Grid Region]], 2, FALSE), Table5[#All], 10, FALSE), IF(Purchased_Electricity[[#This Row],[Type of Emission Factor]]="Residual Mix", VLOOKUP(VLOOKUP(D48, Table3[[#All],[Facility ID]:[Grid Region]], 2, FALSE), Table6[#All], 10, FALSE), IF(Purchased_Electricity[[#This Row],[Type of Emission Factor]]="Custom emission factor", VLOOKUP(Purchased_Electricity[[#This Row],[Custom Emission Factor]], Custom_EF[], 4, FALSE), "")))), "")</f>
        <v/>
      </c>
    </row>
    <row r="49" spans="3:15">
      <c r="C49" s="646"/>
      <c r="D49" s="645"/>
      <c r="E49" s="647"/>
      <c r="F49" s="646"/>
      <c r="G49" s="646"/>
      <c r="H49" s="646"/>
      <c r="I49" s="646"/>
      <c r="J49"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49"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49"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49" s="388" t="str">
        <f>IFERROR(IF(Parameters!$D$19="2014 IPCC Fifth Assessment", (J49*Data!$AJ$5)+(K49*Data!$AJ$6)+(L49*Data!$AJ$7), (J49*Data!$AI$5)+(K49*Data!$AI$6)+(L49*Data!$AI$7)), "")</f>
        <v/>
      </c>
      <c r="N49"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_xlfn.IFNA(VLOOKUP(VLOOKUP(D49, Table3[[#All],[Facility ID]:[Grid Region]], 2, FALSE), Table5[#All], IF(Parameters!$D$19="2014 IPCC Fifth Assessment", 8, 7), FALSE), ""), IF(Purchased_Electricity[[#This Row],[Type of Emission Factor]]="Residual Mix", _xlfn.IFNA(VLOOKUP(VLOOKUP(D49, Table3[[#All],[Facility ID]:[Grid Region]], 2, FALSE), Table6[#All], IF(Parameters!$D$19="2014 IPCC Fifth Assessment", 8, 7), FALSE), ""), _xlfn.IFNA(VLOOKUP(Purchased_Electricity[[#This Row],[Custom Emission Factor]], Custom_EF[], 9, FALSE), ""))))</f>
        <v/>
      </c>
      <c r="O49"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VLOOKUP(VLOOKUP(D49, Table3[[#All],[Facility ID]:[Grid Region]], 2, FALSE), Table5[#All], 10, FALSE), IF(Purchased_Electricity[[#This Row],[Type of Emission Factor]]="Residual Mix", VLOOKUP(VLOOKUP(D49, Table3[[#All],[Facility ID]:[Grid Region]], 2, FALSE), Table6[#All], 10, FALSE), IF(Purchased_Electricity[[#This Row],[Type of Emission Factor]]="Custom emission factor", VLOOKUP(Purchased_Electricity[[#This Row],[Custom Emission Factor]], Custom_EF[], 4, FALSE), "")))), "")</f>
        <v/>
      </c>
    </row>
    <row r="50" spans="3:15">
      <c r="C50" s="646"/>
      <c r="D50" s="645"/>
      <c r="E50" s="647"/>
      <c r="F50" s="646"/>
      <c r="G50" s="646"/>
      <c r="H50" s="646"/>
      <c r="I50" s="646"/>
      <c r="J50"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50"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50"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50" s="388" t="str">
        <f>IFERROR(IF(Parameters!$D$19="2014 IPCC Fifth Assessment", (J50*Data!$AJ$5)+(K50*Data!$AJ$6)+(L50*Data!$AJ$7), (J50*Data!$AI$5)+(K50*Data!$AI$6)+(L50*Data!$AI$7)), "")</f>
        <v/>
      </c>
      <c r="N50"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_xlfn.IFNA(VLOOKUP(VLOOKUP(D50, Table3[[#All],[Facility ID]:[Grid Region]], 2, FALSE), Table5[#All], IF(Parameters!$D$19="2014 IPCC Fifth Assessment", 8, 7), FALSE), ""), IF(Purchased_Electricity[[#This Row],[Type of Emission Factor]]="Residual Mix", _xlfn.IFNA(VLOOKUP(VLOOKUP(D50, Table3[[#All],[Facility ID]:[Grid Region]], 2, FALSE), Table6[#All], IF(Parameters!$D$19="2014 IPCC Fifth Assessment", 8, 7), FALSE), ""), _xlfn.IFNA(VLOOKUP(Purchased_Electricity[[#This Row],[Custom Emission Factor]], Custom_EF[], 9, FALSE), ""))))</f>
        <v/>
      </c>
      <c r="O50"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VLOOKUP(VLOOKUP(D50, Table3[[#All],[Facility ID]:[Grid Region]], 2, FALSE), Table5[#All], 10, FALSE), IF(Purchased_Electricity[[#This Row],[Type of Emission Factor]]="Residual Mix", VLOOKUP(VLOOKUP(D50, Table3[[#All],[Facility ID]:[Grid Region]], 2, FALSE), Table6[#All], 10, FALSE), IF(Purchased_Electricity[[#This Row],[Type of Emission Factor]]="Custom emission factor", VLOOKUP(Purchased_Electricity[[#This Row],[Custom Emission Factor]], Custom_EF[], 4, FALSE), "")))), "")</f>
        <v/>
      </c>
    </row>
    <row r="51" spans="3:15">
      <c r="C51" s="646"/>
      <c r="D51" s="645"/>
      <c r="E51" s="647"/>
      <c r="F51" s="646"/>
      <c r="G51" s="646"/>
      <c r="H51" s="646"/>
      <c r="I51" s="646"/>
      <c r="J51"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51"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51"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51" s="388" t="str">
        <f>IFERROR(IF(Parameters!$D$19="2014 IPCC Fifth Assessment", (J51*Data!$AJ$5)+(K51*Data!$AJ$6)+(L51*Data!$AJ$7), (J51*Data!$AI$5)+(K51*Data!$AI$6)+(L51*Data!$AI$7)), "")</f>
        <v/>
      </c>
      <c r="N51"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_xlfn.IFNA(VLOOKUP(VLOOKUP(D51, Table3[[#All],[Facility ID]:[Grid Region]], 2, FALSE), Table5[#All], IF(Parameters!$D$19="2014 IPCC Fifth Assessment", 8, 7), FALSE), ""), IF(Purchased_Electricity[[#This Row],[Type of Emission Factor]]="Residual Mix", _xlfn.IFNA(VLOOKUP(VLOOKUP(D51, Table3[[#All],[Facility ID]:[Grid Region]], 2, FALSE), Table6[#All], IF(Parameters!$D$19="2014 IPCC Fifth Assessment", 8, 7), FALSE), ""), _xlfn.IFNA(VLOOKUP(Purchased_Electricity[[#This Row],[Custom Emission Factor]], Custom_EF[], 9, FALSE), ""))))</f>
        <v/>
      </c>
      <c r="O51"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VLOOKUP(VLOOKUP(D51, Table3[[#All],[Facility ID]:[Grid Region]], 2, FALSE), Table5[#All], 10, FALSE), IF(Purchased_Electricity[[#This Row],[Type of Emission Factor]]="Residual Mix", VLOOKUP(VLOOKUP(D51, Table3[[#All],[Facility ID]:[Grid Region]], 2, FALSE), Table6[#All], 10, FALSE), IF(Purchased_Electricity[[#This Row],[Type of Emission Factor]]="Custom emission factor", VLOOKUP(Purchased_Electricity[[#This Row],[Custom Emission Factor]], Custom_EF[], 4, FALSE), "")))), "")</f>
        <v/>
      </c>
    </row>
    <row r="52" spans="3:15">
      <c r="C52" s="646"/>
      <c r="D52" s="645"/>
      <c r="E52" s="647"/>
      <c r="F52" s="646"/>
      <c r="G52" s="646"/>
      <c r="H52" s="646"/>
      <c r="I52" s="646"/>
      <c r="J52"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52"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52"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52" s="388" t="str">
        <f>IFERROR(IF(Parameters!$D$19="2014 IPCC Fifth Assessment", (J52*Data!$AJ$5)+(K52*Data!$AJ$6)+(L52*Data!$AJ$7), (J52*Data!$AI$5)+(K52*Data!$AI$6)+(L52*Data!$AI$7)), "")</f>
        <v/>
      </c>
      <c r="N52"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_xlfn.IFNA(VLOOKUP(VLOOKUP(D52, Table3[[#All],[Facility ID]:[Grid Region]], 2, FALSE), Table5[#All], IF(Parameters!$D$19="2014 IPCC Fifth Assessment", 8, 7), FALSE), ""), IF(Purchased_Electricity[[#This Row],[Type of Emission Factor]]="Residual Mix", _xlfn.IFNA(VLOOKUP(VLOOKUP(D52, Table3[[#All],[Facility ID]:[Grid Region]], 2, FALSE), Table6[#All], IF(Parameters!$D$19="2014 IPCC Fifth Assessment", 8, 7), FALSE), ""), _xlfn.IFNA(VLOOKUP(Purchased_Electricity[[#This Row],[Custom Emission Factor]], Custom_EF[], 9, FALSE), ""))))</f>
        <v/>
      </c>
      <c r="O52"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VLOOKUP(VLOOKUP(D52, Table3[[#All],[Facility ID]:[Grid Region]], 2, FALSE), Table5[#All], 10, FALSE), IF(Purchased_Electricity[[#This Row],[Type of Emission Factor]]="Residual Mix", VLOOKUP(VLOOKUP(D52, Table3[[#All],[Facility ID]:[Grid Region]], 2, FALSE), Table6[#All], 10, FALSE), IF(Purchased_Electricity[[#This Row],[Type of Emission Factor]]="Custom emission factor", VLOOKUP(Purchased_Electricity[[#This Row],[Custom Emission Factor]], Custom_EF[], 4, FALSE), "")))), "")</f>
        <v/>
      </c>
    </row>
    <row r="53" spans="3:15">
      <c r="C53" s="646"/>
      <c r="D53" s="645"/>
      <c r="E53" s="647"/>
      <c r="F53" s="646"/>
      <c r="G53" s="646"/>
      <c r="H53" s="646"/>
      <c r="I53" s="646"/>
      <c r="J53"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53"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53"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53" s="388" t="str">
        <f>IFERROR(IF(Parameters!$D$19="2014 IPCC Fifth Assessment", (J53*Data!$AJ$5)+(K53*Data!$AJ$6)+(L53*Data!$AJ$7), (J53*Data!$AI$5)+(K53*Data!$AI$6)+(L53*Data!$AI$7)), "")</f>
        <v/>
      </c>
      <c r="N53"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_xlfn.IFNA(VLOOKUP(VLOOKUP(D53, Table3[[#All],[Facility ID]:[Grid Region]], 2, FALSE), Table5[#All], IF(Parameters!$D$19="2014 IPCC Fifth Assessment", 8, 7), FALSE), ""), IF(Purchased_Electricity[[#This Row],[Type of Emission Factor]]="Residual Mix", _xlfn.IFNA(VLOOKUP(VLOOKUP(D53, Table3[[#All],[Facility ID]:[Grid Region]], 2, FALSE), Table6[#All], IF(Parameters!$D$19="2014 IPCC Fifth Assessment", 8, 7), FALSE), ""), _xlfn.IFNA(VLOOKUP(Purchased_Electricity[[#This Row],[Custom Emission Factor]], Custom_EF[], 9, FALSE), ""))))</f>
        <v/>
      </c>
      <c r="O53"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VLOOKUP(VLOOKUP(D53, Table3[[#All],[Facility ID]:[Grid Region]], 2, FALSE), Table5[#All], 10, FALSE), IF(Purchased_Electricity[[#This Row],[Type of Emission Factor]]="Residual Mix", VLOOKUP(VLOOKUP(D53, Table3[[#All],[Facility ID]:[Grid Region]], 2, FALSE), Table6[#All], 10, FALSE), IF(Purchased_Electricity[[#This Row],[Type of Emission Factor]]="Custom emission factor", VLOOKUP(Purchased_Electricity[[#This Row],[Custom Emission Factor]], Custom_EF[], 4, FALSE), "")))), "")</f>
        <v/>
      </c>
    </row>
    <row r="54" spans="3:15">
      <c r="C54" s="646"/>
      <c r="D54" s="645"/>
      <c r="E54" s="647"/>
      <c r="F54" s="646"/>
      <c r="G54" s="646"/>
      <c r="H54" s="646"/>
      <c r="I54" s="646"/>
      <c r="J54"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54"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54"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54" s="388" t="str">
        <f>IFERROR(IF(Parameters!$D$19="2014 IPCC Fifth Assessment", (J54*Data!$AJ$5)+(K54*Data!$AJ$6)+(L54*Data!$AJ$7), (J54*Data!$AI$5)+(K54*Data!$AI$6)+(L54*Data!$AI$7)), "")</f>
        <v/>
      </c>
      <c r="N54"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_xlfn.IFNA(VLOOKUP(VLOOKUP(D54, Table3[[#All],[Facility ID]:[Grid Region]], 2, FALSE), Table5[#All], IF(Parameters!$D$19="2014 IPCC Fifth Assessment", 8, 7), FALSE), ""), IF(Purchased_Electricity[[#This Row],[Type of Emission Factor]]="Residual Mix", _xlfn.IFNA(VLOOKUP(VLOOKUP(D54, Table3[[#All],[Facility ID]:[Grid Region]], 2, FALSE), Table6[#All], IF(Parameters!$D$19="2014 IPCC Fifth Assessment", 8, 7), FALSE), ""), _xlfn.IFNA(VLOOKUP(Purchased_Electricity[[#This Row],[Custom Emission Factor]], Custom_EF[], 9, FALSE), ""))))</f>
        <v/>
      </c>
      <c r="O54"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VLOOKUP(VLOOKUP(D54, Table3[[#All],[Facility ID]:[Grid Region]], 2, FALSE), Table5[#All], 10, FALSE), IF(Purchased_Electricity[[#This Row],[Type of Emission Factor]]="Residual Mix", VLOOKUP(VLOOKUP(D54, Table3[[#All],[Facility ID]:[Grid Region]], 2, FALSE), Table6[#All], 10, FALSE), IF(Purchased_Electricity[[#This Row],[Type of Emission Factor]]="Custom emission factor", VLOOKUP(Purchased_Electricity[[#This Row],[Custom Emission Factor]], Custom_EF[], 4, FALSE), "")))), "")</f>
        <v/>
      </c>
    </row>
    <row r="55" spans="3:15">
      <c r="C55" s="646"/>
      <c r="D55" s="645"/>
      <c r="E55" s="647"/>
      <c r="F55" s="646"/>
      <c r="G55" s="646"/>
      <c r="H55" s="646"/>
      <c r="I55" s="646"/>
      <c r="J55"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55"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55"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55" s="388" t="str">
        <f>IFERROR(IF(Parameters!$D$19="2014 IPCC Fifth Assessment", (J55*Data!$AJ$5)+(K55*Data!$AJ$6)+(L55*Data!$AJ$7), (J55*Data!$AI$5)+(K55*Data!$AI$6)+(L55*Data!$AI$7)), "")</f>
        <v/>
      </c>
      <c r="N55"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_xlfn.IFNA(VLOOKUP(VLOOKUP(D55, Table3[[#All],[Facility ID]:[Grid Region]], 2, FALSE), Table5[#All], IF(Parameters!$D$19="2014 IPCC Fifth Assessment", 8, 7), FALSE), ""), IF(Purchased_Electricity[[#This Row],[Type of Emission Factor]]="Residual Mix", _xlfn.IFNA(VLOOKUP(VLOOKUP(D55, Table3[[#All],[Facility ID]:[Grid Region]], 2, FALSE), Table6[#All], IF(Parameters!$D$19="2014 IPCC Fifth Assessment", 8, 7), FALSE), ""), _xlfn.IFNA(VLOOKUP(Purchased_Electricity[[#This Row],[Custom Emission Factor]], Custom_EF[], 9, FALSE), ""))))</f>
        <v/>
      </c>
      <c r="O55"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VLOOKUP(VLOOKUP(D55, Table3[[#All],[Facility ID]:[Grid Region]], 2, FALSE), Table5[#All], 10, FALSE), IF(Purchased_Electricity[[#This Row],[Type of Emission Factor]]="Residual Mix", VLOOKUP(VLOOKUP(D55, Table3[[#All],[Facility ID]:[Grid Region]], 2, FALSE), Table6[#All], 10, FALSE), IF(Purchased_Electricity[[#This Row],[Type of Emission Factor]]="Custom emission factor", VLOOKUP(Purchased_Electricity[[#This Row],[Custom Emission Factor]], Custom_EF[], 4, FALSE), "")))), "")</f>
        <v/>
      </c>
    </row>
    <row r="56" spans="3:15">
      <c r="C56" s="646"/>
      <c r="D56" s="645"/>
      <c r="E56" s="647"/>
      <c r="F56" s="646"/>
      <c r="G56" s="646"/>
      <c r="H56" s="646"/>
      <c r="I56" s="646"/>
      <c r="J56"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56"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56"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56" s="388" t="str">
        <f>IFERROR(IF(Parameters!$D$19="2014 IPCC Fifth Assessment", (J56*Data!$AJ$5)+(K56*Data!$AJ$6)+(L56*Data!$AJ$7), (J56*Data!$AI$5)+(K56*Data!$AI$6)+(L56*Data!$AI$7)), "")</f>
        <v/>
      </c>
      <c r="N56"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_xlfn.IFNA(VLOOKUP(VLOOKUP(D56, Table3[[#All],[Facility ID]:[Grid Region]], 2, FALSE), Table5[#All], IF(Parameters!$D$19="2014 IPCC Fifth Assessment", 8, 7), FALSE), ""), IF(Purchased_Electricity[[#This Row],[Type of Emission Factor]]="Residual Mix", _xlfn.IFNA(VLOOKUP(VLOOKUP(D56, Table3[[#All],[Facility ID]:[Grid Region]], 2, FALSE), Table6[#All], IF(Parameters!$D$19="2014 IPCC Fifth Assessment", 8, 7), FALSE), ""), _xlfn.IFNA(VLOOKUP(Purchased_Electricity[[#This Row],[Custom Emission Factor]], Custom_EF[], 9, FALSE), ""))))</f>
        <v/>
      </c>
      <c r="O56"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VLOOKUP(VLOOKUP(D56, Table3[[#All],[Facility ID]:[Grid Region]], 2, FALSE), Table5[#All], 10, FALSE), IF(Purchased_Electricity[[#This Row],[Type of Emission Factor]]="Residual Mix", VLOOKUP(VLOOKUP(D56, Table3[[#All],[Facility ID]:[Grid Region]], 2, FALSE), Table6[#All], 10, FALSE), IF(Purchased_Electricity[[#This Row],[Type of Emission Factor]]="Custom emission factor", VLOOKUP(Purchased_Electricity[[#This Row],[Custom Emission Factor]], Custom_EF[], 4, FALSE), "")))), "")</f>
        <v/>
      </c>
    </row>
    <row r="57" spans="3:15">
      <c r="C57" s="646"/>
      <c r="D57" s="645"/>
      <c r="E57" s="647"/>
      <c r="F57" s="646"/>
      <c r="G57" s="646"/>
      <c r="H57" s="646"/>
      <c r="I57" s="646"/>
      <c r="J57"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57"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57"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57" s="388" t="str">
        <f>IFERROR(IF(Parameters!$D$19="2014 IPCC Fifth Assessment", (J57*Data!$AJ$5)+(K57*Data!$AJ$6)+(L57*Data!$AJ$7), (J57*Data!$AI$5)+(K57*Data!$AI$6)+(L57*Data!$AI$7)), "")</f>
        <v/>
      </c>
      <c r="N57"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_xlfn.IFNA(VLOOKUP(VLOOKUP(D57, Table3[[#All],[Facility ID]:[Grid Region]], 2, FALSE), Table5[#All], IF(Parameters!$D$19="2014 IPCC Fifth Assessment", 8, 7), FALSE), ""), IF(Purchased_Electricity[[#This Row],[Type of Emission Factor]]="Residual Mix", _xlfn.IFNA(VLOOKUP(VLOOKUP(D57, Table3[[#All],[Facility ID]:[Grid Region]], 2, FALSE), Table6[#All], IF(Parameters!$D$19="2014 IPCC Fifth Assessment", 8, 7), FALSE), ""), _xlfn.IFNA(VLOOKUP(Purchased_Electricity[[#This Row],[Custom Emission Factor]], Custom_EF[], 9, FALSE), ""))))</f>
        <v/>
      </c>
      <c r="O57"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VLOOKUP(VLOOKUP(D57, Table3[[#All],[Facility ID]:[Grid Region]], 2, FALSE), Table5[#All], 10, FALSE), IF(Purchased_Electricity[[#This Row],[Type of Emission Factor]]="Residual Mix", VLOOKUP(VLOOKUP(D57, Table3[[#All],[Facility ID]:[Grid Region]], 2, FALSE), Table6[#All], 10, FALSE), IF(Purchased_Electricity[[#This Row],[Type of Emission Factor]]="Custom emission factor", VLOOKUP(Purchased_Electricity[[#This Row],[Custom Emission Factor]], Custom_EF[], 4, FALSE), "")))), "")</f>
        <v/>
      </c>
    </row>
    <row r="58" spans="3:15">
      <c r="C58" s="646"/>
      <c r="D58" s="645"/>
      <c r="E58" s="647"/>
      <c r="F58" s="646"/>
      <c r="G58" s="646"/>
      <c r="H58" s="646"/>
      <c r="I58" s="646"/>
      <c r="J58"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58"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58"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58" s="388" t="str">
        <f>IFERROR(IF(Parameters!$D$19="2014 IPCC Fifth Assessment", (J58*Data!$AJ$5)+(K58*Data!$AJ$6)+(L58*Data!$AJ$7), (J58*Data!$AI$5)+(K58*Data!$AI$6)+(L58*Data!$AI$7)), "")</f>
        <v/>
      </c>
      <c r="N58"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_xlfn.IFNA(VLOOKUP(VLOOKUP(D58, Table3[[#All],[Facility ID]:[Grid Region]], 2, FALSE), Table5[#All], IF(Parameters!$D$19="2014 IPCC Fifth Assessment", 8, 7), FALSE), ""), IF(Purchased_Electricity[[#This Row],[Type of Emission Factor]]="Residual Mix", _xlfn.IFNA(VLOOKUP(VLOOKUP(D58, Table3[[#All],[Facility ID]:[Grid Region]], 2, FALSE), Table6[#All], IF(Parameters!$D$19="2014 IPCC Fifth Assessment", 8, 7), FALSE), ""), _xlfn.IFNA(VLOOKUP(Purchased_Electricity[[#This Row],[Custom Emission Factor]], Custom_EF[], 9, FALSE), ""))))</f>
        <v/>
      </c>
      <c r="O58"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VLOOKUP(VLOOKUP(D58, Table3[[#All],[Facility ID]:[Grid Region]], 2, FALSE), Table5[#All], 10, FALSE), IF(Purchased_Electricity[[#This Row],[Type of Emission Factor]]="Residual Mix", VLOOKUP(VLOOKUP(D58, Table3[[#All],[Facility ID]:[Grid Region]], 2, FALSE), Table6[#All], 10, FALSE), IF(Purchased_Electricity[[#This Row],[Type of Emission Factor]]="Custom emission factor", VLOOKUP(Purchased_Electricity[[#This Row],[Custom Emission Factor]], Custom_EF[], 4, FALSE), "")))), "")</f>
        <v/>
      </c>
    </row>
    <row r="59" spans="3:15">
      <c r="C59" s="646"/>
      <c r="D59" s="645"/>
      <c r="E59" s="647"/>
      <c r="F59" s="646"/>
      <c r="G59" s="646"/>
      <c r="H59" s="646"/>
      <c r="I59" s="646"/>
      <c r="J59"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59"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59"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59" s="388" t="str">
        <f>IFERROR(IF(Parameters!$D$19="2014 IPCC Fifth Assessment", (J59*Data!$AJ$5)+(K59*Data!$AJ$6)+(L59*Data!$AJ$7), (J59*Data!$AI$5)+(K59*Data!$AI$6)+(L59*Data!$AI$7)), "")</f>
        <v/>
      </c>
      <c r="N59"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_xlfn.IFNA(VLOOKUP(VLOOKUP(D59, Table3[[#All],[Facility ID]:[Grid Region]], 2, FALSE), Table5[#All], IF(Parameters!$D$19="2014 IPCC Fifth Assessment", 8, 7), FALSE), ""), IF(Purchased_Electricity[[#This Row],[Type of Emission Factor]]="Residual Mix", _xlfn.IFNA(VLOOKUP(VLOOKUP(D59, Table3[[#All],[Facility ID]:[Grid Region]], 2, FALSE), Table6[#All], IF(Parameters!$D$19="2014 IPCC Fifth Assessment", 8, 7), FALSE), ""), _xlfn.IFNA(VLOOKUP(Purchased_Electricity[[#This Row],[Custom Emission Factor]], Custom_EF[], 9, FALSE), ""))))</f>
        <v/>
      </c>
      <c r="O59"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VLOOKUP(VLOOKUP(D59, Table3[[#All],[Facility ID]:[Grid Region]], 2, FALSE), Table5[#All], 10, FALSE), IF(Purchased_Electricity[[#This Row],[Type of Emission Factor]]="Residual Mix", VLOOKUP(VLOOKUP(D59, Table3[[#All],[Facility ID]:[Grid Region]], 2, FALSE), Table6[#All], 10, FALSE), IF(Purchased_Electricity[[#This Row],[Type of Emission Factor]]="Custom emission factor", VLOOKUP(Purchased_Electricity[[#This Row],[Custom Emission Factor]], Custom_EF[], 4, FALSE), "")))), "")</f>
        <v/>
      </c>
    </row>
    <row r="60" spans="3:15">
      <c r="C60" s="646"/>
      <c r="D60" s="645"/>
      <c r="E60" s="647"/>
      <c r="F60" s="646"/>
      <c r="G60" s="646"/>
      <c r="H60" s="646"/>
      <c r="I60" s="646"/>
      <c r="J60"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60"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60"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60" s="388" t="str">
        <f>IFERROR(IF(Parameters!$D$19="2014 IPCC Fifth Assessment", (J60*Data!$AJ$5)+(K60*Data!$AJ$6)+(L60*Data!$AJ$7), (J60*Data!$AI$5)+(K60*Data!$AI$6)+(L60*Data!$AI$7)), "")</f>
        <v/>
      </c>
      <c r="N60"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_xlfn.IFNA(VLOOKUP(VLOOKUP(D60, Table3[[#All],[Facility ID]:[Grid Region]], 2, FALSE), Table5[#All], IF(Parameters!$D$19="2014 IPCC Fifth Assessment", 8, 7), FALSE), ""), IF(Purchased_Electricity[[#This Row],[Type of Emission Factor]]="Residual Mix", _xlfn.IFNA(VLOOKUP(VLOOKUP(D60, Table3[[#All],[Facility ID]:[Grid Region]], 2, FALSE), Table6[#All], IF(Parameters!$D$19="2014 IPCC Fifth Assessment", 8, 7), FALSE), ""), _xlfn.IFNA(VLOOKUP(Purchased_Electricity[[#This Row],[Custom Emission Factor]], Custom_EF[], 9, FALSE), ""))))</f>
        <v/>
      </c>
      <c r="O60"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VLOOKUP(VLOOKUP(D60, Table3[[#All],[Facility ID]:[Grid Region]], 2, FALSE), Table5[#All], 10, FALSE), IF(Purchased_Electricity[[#This Row],[Type of Emission Factor]]="Residual Mix", VLOOKUP(VLOOKUP(D60, Table3[[#All],[Facility ID]:[Grid Region]], 2, FALSE), Table6[#All], 10, FALSE), IF(Purchased_Electricity[[#This Row],[Type of Emission Factor]]="Custom emission factor", VLOOKUP(Purchased_Electricity[[#This Row],[Custom Emission Factor]], Custom_EF[], 4, FALSE), "")))), "")</f>
        <v/>
      </c>
    </row>
    <row r="61" spans="3:15">
      <c r="C61" s="646"/>
      <c r="D61" s="645"/>
      <c r="E61" s="647"/>
      <c r="F61" s="646"/>
      <c r="G61" s="646"/>
      <c r="H61" s="646"/>
      <c r="I61" s="646"/>
      <c r="J61"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61"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61"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61" s="388" t="str">
        <f>IFERROR(IF(Parameters!$D$19="2014 IPCC Fifth Assessment", (J61*Data!$AJ$5)+(K61*Data!$AJ$6)+(L61*Data!$AJ$7), (J61*Data!$AI$5)+(K61*Data!$AI$6)+(L61*Data!$AI$7)), "")</f>
        <v/>
      </c>
      <c r="N61"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_xlfn.IFNA(VLOOKUP(VLOOKUP(D61, Table3[[#All],[Facility ID]:[Grid Region]], 2, FALSE), Table5[#All], IF(Parameters!$D$19="2014 IPCC Fifth Assessment", 8, 7), FALSE), ""), IF(Purchased_Electricity[[#This Row],[Type of Emission Factor]]="Residual Mix", _xlfn.IFNA(VLOOKUP(VLOOKUP(D61, Table3[[#All],[Facility ID]:[Grid Region]], 2, FALSE), Table6[#All], IF(Parameters!$D$19="2014 IPCC Fifth Assessment", 8, 7), FALSE), ""), _xlfn.IFNA(VLOOKUP(Purchased_Electricity[[#This Row],[Custom Emission Factor]], Custom_EF[], 9, FALSE), ""))))</f>
        <v/>
      </c>
      <c r="O61"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VLOOKUP(VLOOKUP(D61, Table3[[#All],[Facility ID]:[Grid Region]], 2, FALSE), Table5[#All], 10, FALSE), IF(Purchased_Electricity[[#This Row],[Type of Emission Factor]]="Residual Mix", VLOOKUP(VLOOKUP(D61, Table3[[#All],[Facility ID]:[Grid Region]], 2, FALSE), Table6[#All], 10, FALSE), IF(Purchased_Electricity[[#This Row],[Type of Emission Factor]]="Custom emission factor", VLOOKUP(Purchased_Electricity[[#This Row],[Custom Emission Factor]], Custom_EF[], 4, FALSE), "")))), "")</f>
        <v/>
      </c>
    </row>
    <row r="62" spans="3:15">
      <c r="C62" s="645"/>
      <c r="D62" s="646"/>
      <c r="E62" s="647"/>
      <c r="F62" s="646"/>
      <c r="G62" s="646"/>
      <c r="H62" s="646"/>
      <c r="I62" s="646"/>
      <c r="J62" s="648"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62" s="388"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62" s="388"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62" s="388" t="str">
        <f>IFERROR(IF(Parameters!$D$19="2014 IPCC Fifth Assessment", (J62*Data!$AJ$5)+(K62*Data!$AJ$6)+(L62*Data!$AJ$7), (J62*Data!$AI$5)+(K62*Data!$AI$6)+(L62*Data!$AI$7)), "")</f>
        <v/>
      </c>
      <c r="N62" s="388"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_xlfn.IFNA(VLOOKUP(VLOOKUP(D62, Table3[[#All],[Facility ID]:[Grid Region]], 2, FALSE), Table5[#All], IF(Parameters!$D$19="2014 IPCC Fifth Assessment", 8, 7), FALSE), ""), IF(Purchased_Electricity[[#This Row],[Type of Emission Factor]]="Residual Mix", _xlfn.IFNA(VLOOKUP(VLOOKUP(D62, Table3[[#All],[Facility ID]:[Grid Region]], 2, FALSE), Table6[#All], IF(Parameters!$D$19="2014 IPCC Fifth Assessment", 8, 7), FALSE), ""), _xlfn.IFNA(VLOOKUP(Purchased_Electricity[[#This Row],[Custom Emission Factor]], Custom_EF[], 9, FALSE), ""))))</f>
        <v/>
      </c>
      <c r="O62" s="649" t="str">
        <f>_xlfn.IFNA(IF(AND(Purchased_Electricity[[#This Row],[Calculation Approach]]="Heat/Steam", Purchased_Electricity[[#This Row],[Type of Emission Factor]]="Grid Average/Location Based"), 'Emission Factors'!$K$864, IF(Purchased_Electricity[[#This Row],[Type of Emission Factor]]="Grid Average/Location Based", VLOOKUP(VLOOKUP(D62, Table3[[#All],[Facility ID]:[Grid Region]], 2, FALSE), Table5[#All], 10, FALSE), IF(Purchased_Electricity[[#This Row],[Type of Emission Factor]]="Residual Mix", VLOOKUP(VLOOKUP(D62, Table3[[#All],[Facility ID]:[Grid Region]], 2, FALSE), Table6[#All], 10, FALSE), IF(Purchased_Electricity[[#This Row],[Type of Emission Factor]]="Custom emission factor", VLOOKUP(Purchased_Electricity[[#This Row],[Custom Emission Factor]], Custom_EF[], 4, FALSE), "")))), "")</f>
        <v/>
      </c>
    </row>
    <row r="63" spans="3:15">
      <c r="C63" s="646"/>
      <c r="D63" s="645"/>
      <c r="E63" s="651"/>
      <c r="F63" s="650"/>
      <c r="G63" s="646"/>
      <c r="H63" s="646"/>
      <c r="I63" s="646"/>
      <c r="J63" s="652" t="str">
        <f>IF(AND(Purchased_Electricity[[#This Row],[Calculation Approach]]="Heat/Steam", Purchased_Electricity[[#This Row],[Type of Emission Factor]]="Grid Average/Location Based"), _xlfn.IFNA((Table8[CO2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3,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3,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5,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K63" s="394" t="str">
        <f>IF(AND(Purchased_Electricity[[#This Row],[Calculation Approach]]="Heat/Steam", Purchased_Electricity[[#This Row],[Type of Emission Factor]]="Grid Average/Location Based"), _xlfn.IFNA((Table8[CH4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4,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4,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6,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L63" s="394" t="str">
        <f>IF(AND(Purchased_Electricity[[#This Row],[Calculation Approach]]="Heat/Steam", Purchased_Electricity[[#This Row],[Type of Emission Factor]]="Grid Average/Location Based"), _xlfn.IFNA((Table8[N2O Factor (kgCO2e)]/IF(Table8[Units]=Purchased_Electricity[[#This Row],[Units]], 1, VLOOKUP(Table8[Units]&amp;"_to_"&amp;Purchased_Electricity[[#This Row],[Units]], Conversions!$B$52:$F$162, Conversions!$E$52, FALSE))*Purchased_Electricity[[#This Row],[Amount of Electricity Consumption]])/1000, ""), IF(Purchased_Electricity[[#This Row],[Type of Emission Factor]]="Grid Average/Location Based", _xlfn.IFNA((VLOOKUP(VLOOKUP(Purchased_Electricity[[#This Row],[Facility ID]], Table3[[#All],[Facility ID]:[Grid Region]], 2, FALSE), Table5[#All], 5, FALSE)/IF(VLOOKUP(VLOOKUP(Purchased_Electricity[[#This Row],[Facility ID]], Table3[[#All],[Facility ID]:[Grid Region]], 2, FALSE), Table5[#All], 9, FALSE) =Purchased_Electricity[[#This Row],[Units]], 1, VLOOKUP(VLOOKUP(VLOOKUP(Purchased_Electricity[[#This Row],[Facility ID]], Table3[[#All],[Facility ID]:[Grid Region]], 2, FALSE), Table5[#All], 9, FALSE)&amp;"_to_"&amp;Purchased_Electricity[[#This Row],[Units]], Conversions!$B$52:$F$162, Conversions!$E$52, FALSE))*Purchased_Electricity[[#This Row],[Amount of Electricity Consumption]])/1000, ""), IF(Purchased_Electricity[[#This Row],[Type of Emission Factor]]="Residual Mix", _xlfn.IFNA((VLOOKUP(VLOOKUP(Purchased_Electricity[[#This Row],[Facility ID]], Table3[[#All],[Facility ID]:[Grid Region]], 2, FALSE), Table6[#All], 5, FALSE)/IF(VLOOKUP(VLOOKUP(Purchased_Electricity[[#This Row],[Facility ID]], Table3[[#All],[Facility ID]:[Grid Region]], 2, FALSE), Table6[#All], 9, FALSE) =Purchased_Electricity[[#This Row],[Units]], 1, VLOOKUP(VLOOKUP(VLOOKUP(Purchased_Electricity[[#This Row],[Facility ID]], Table3[[#All],[Facility ID]:[Grid Region]], 2, FALSE), Table6[#All], 9, FALSE)&amp;"_to_"&amp;Purchased_Electricity[[#This Row],[Units]], Conversions!$B$52:$F$162, Conversions!$E$52, FALSE))*Purchased_Electricity[[#This Row],[Amount of Electricity Consumption]])/1000, ""), IF(Purchased_Electricity[[#This Row],[Type of Emission Factor]]="Custom emission factor", _xlfn.IFNA((VLOOKUP(Purchased_Electricity[[#This Row],[Custom Emission Factor]], Custom_EF[], 7, FALSE)*IF(VLOOKUP(Purchased_Electricity[[#This Row],[Custom Emission Factor]], Custom_EF[], 10, FALSE)="kg", 1, IF(VLOOKUP(Purchased_Electricity[[#This Row],[Custom Emission Factor]], Custom_EF[], 10, FALSE)="g", 0.001, IF(VLOOKUP(Purchased_Electricity[[#This Row],[Custom Emission Factor]], Custom_EF[], 10, FALSE)="tonne", 1000)))/IF(VLOOKUP(Purchased_Electricity[[#This Row],[Custom Emission Factor]], Custom_EF[], 11,FALSE) =Purchased_Electricity[[#This Row],[Units]], 1, VLOOKUP(VLOOKUP(Purchased_Electricity[[#This Row],[Custom Emission Factor]], Custom_EF[], 11,FALSE)&amp;"_to_"&amp;Purchased_Electricity[[#This Row],[Units]], Conversions!$B$52:$F$162, Conversions!$E$52, FALSE))*Purchased_Electricity[[#This Row],[Amount of Electricity Consumption]]/1000), ""), ""))))</f>
        <v/>
      </c>
      <c r="M63" s="394" t="str">
        <f>IFERROR(IF(Parameters!$D$19="2014 IPCC Fifth Assessment", (J63*Data!$AJ$5)+(K63*Data!$AJ$6)+(L63*Data!$AJ$7), (J63*Data!$AI$5)+(K63*Data!$AI$6)+(L63*Data!$AI$7)), "")</f>
        <v/>
      </c>
      <c r="N63" s="394" t="str">
        <f>IF(AND(Purchased_Electricity[[#This Row],[Calculation Approach]]="Heat/Steam", Purchased_Electricity[[#This Row],[Type of Emission Factor]]="Grid Average/Location Based"), IF(Parameters!$D$19="2014 IPCC Fifth Assessment", Table8[AR5 (kgCO2e)], Table8[AR4 (kgCO2e)]), IF(Purchased_Electricity[[#This Row],[Type of Emission Factor]]="Grid Average/Location Based", _xlfn.IFNA(VLOOKUP(VLOOKUP(D63, Table3[[#All],[Facility ID]:[Grid Region]], 2, FALSE), Table5[#All], IF(Parameters!$D$19="2014 IPCC Fifth Assessment", 8, 7), FALSE), ""), IF(Purchased_Electricity[[#This Row],[Type of Emission Factor]]="Residual Mix", _xlfn.IFNA(VLOOKUP(VLOOKUP(D63, Table3[[#All],[Facility ID]:[Grid Region]], 2, FALSE), Table6[#All], IF(Parameters!$D$19="2014 IPCC Fifth Assessment", 8, 7), FALSE), ""), _xlfn.IFNA(VLOOKUP(Purchased_Electricity[[#This Row],[Custom Emission Factor]], Custom_EF[], 9, FALSE), ""))))</f>
        <v/>
      </c>
      <c r="O63" s="653" t="str">
        <f>_xlfn.IFNA(IF(AND(Purchased_Electricity[[#This Row],[Calculation Approach]]="Heat/Steam", Purchased_Electricity[[#This Row],[Type of Emission Factor]]="Grid Average/Location Based"), 'Emission Factors'!$K$864, IF(Purchased_Electricity[[#This Row],[Type of Emission Factor]]="Grid Average/Location Based", VLOOKUP(VLOOKUP(D63, Table3[[#All],[Facility ID]:[Grid Region]], 2, FALSE), Table5[#All], 10, FALSE), IF(Purchased_Electricity[[#This Row],[Type of Emission Factor]]="Residual Mix", VLOOKUP(VLOOKUP(D63, Table3[[#All],[Facility ID]:[Grid Region]], 2, FALSE), Table6[#All], 10, FALSE), IF(Purchased_Electricity[[#This Row],[Type of Emission Factor]]="Custom emission factor", VLOOKUP(Purchased_Electricity[[#This Row],[Custom Emission Factor]], Custom_EF[], 4, FALSE), "")))), "")</f>
        <v/>
      </c>
    </row>
    <row r="64" spans="3:15" ht="18.75">
      <c r="H64" s="929" t="s">
        <v>1376</v>
      </c>
      <c r="I64" s="930"/>
      <c r="J64" s="930"/>
      <c r="K64" s="930"/>
      <c r="L64" s="931"/>
      <c r="M64" s="377">
        <f>SUMIFS(Purchased_Electricity[CO2e (tonnes)], Purchased_Electricity[Calculation Approach], Dropdowns!$S$2)</f>
        <v>0</v>
      </c>
    </row>
    <row r="65" spans="3:13" ht="18.75">
      <c r="H65" s="929" t="s">
        <v>1377</v>
      </c>
      <c r="I65" s="930"/>
      <c r="J65" s="930"/>
      <c r="K65" s="930"/>
      <c r="L65" s="931"/>
      <c r="M65" s="377">
        <f>SUMIFS(Purchased_Electricity[CO2e (tonnes)], Purchased_Electricity[Calculation Approach], Dropdowns!$S$3)</f>
        <v>0</v>
      </c>
    </row>
    <row r="66" spans="3:13" ht="18.75">
      <c r="C66" s="216"/>
      <c r="D66" s="216"/>
      <c r="H66" s="929" t="s">
        <v>1378</v>
      </c>
      <c r="I66" s="930"/>
      <c r="J66" s="930"/>
      <c r="K66" s="930"/>
      <c r="L66" s="931"/>
      <c r="M66" s="377">
        <f>SUMIFS(Purchased_Electricity[CO2e (tonnes)], Purchased_Electricity[Calculation Approach], Dropdowns!$S$4)</f>
        <v>0</v>
      </c>
    </row>
    <row r="69" spans="3:13">
      <c r="C69" s="894"/>
      <c r="D69" s="894"/>
      <c r="E69" s="894"/>
    </row>
  </sheetData>
  <mergeCells count="9">
    <mergeCell ref="C11:H11"/>
    <mergeCell ref="C13:F13"/>
    <mergeCell ref="N25:O25"/>
    <mergeCell ref="C69:E69"/>
    <mergeCell ref="C25:I25"/>
    <mergeCell ref="H64:L64"/>
    <mergeCell ref="H65:L65"/>
    <mergeCell ref="J25:M25"/>
    <mergeCell ref="H66:L66"/>
  </mergeCells>
  <phoneticPr fontId="35" type="noConversion"/>
  <conditionalFormatting sqref="I27:I63">
    <cfRule type="expression" dxfId="22" priority="1">
      <formula>IF($H27&lt;&gt;"Custom emission factor", TRUE)</formula>
    </cfRule>
  </conditionalFormatting>
  <pageMargins left="0.7" right="0.7" top="0.75" bottom="0.75" header="0.3" footer="0.3"/>
  <pageSetup orientation="portrait" r:id="rId1"/>
  <drawing r:id="rId2"/>
  <tableParts count="1">
    <tablePart r:id="rId3"/>
  </tableParts>
  <extLst>
    <ext xmlns:x14="http://schemas.microsoft.com/office/spreadsheetml/2009/9/main" uri="{CCE6A557-97BC-4b89-ADB6-D9C93CAAB3DF}">
      <x14:dataValidations xmlns:xm="http://schemas.microsoft.com/office/excel/2006/main" count="6">
        <x14:dataValidation type="list" allowBlank="1" showInputMessage="1" showErrorMessage="1" xr:uid="{5EB65BCE-47B9-4F86-B9D0-6BB1DB1B30E5}">
          <x14:formula1>
            <xm:f>Parameters!$C$31:$C$36</xm:f>
          </x14:formula1>
          <xm:sqref>C27:C63</xm:sqref>
        </x14:dataValidation>
        <x14:dataValidation type="list" allowBlank="1" showInputMessage="1" showErrorMessage="1" xr:uid="{A2373A93-4382-43B6-86CD-9E8248C9BE29}">
          <x14:formula1>
            <xm:f>Parameters!$F$43:$F$52</xm:f>
          </x14:formula1>
          <xm:sqref>D27:D63</xm:sqref>
        </x14:dataValidation>
        <x14:dataValidation type="list" allowBlank="1" showInputMessage="1" showErrorMessage="1" xr:uid="{26C5EE00-2397-483B-88FE-EA6D901B9E49}">
          <x14:formula1>
            <xm:f>Dropdowns!$V$2:$V$8</xm:f>
          </x14:formula1>
          <xm:sqref>F27:F63</xm:sqref>
        </x14:dataValidation>
        <x14:dataValidation type="list" allowBlank="1" showInputMessage="1" showErrorMessage="1" xr:uid="{5FBA40A9-34D2-4A0E-B725-7820EA398E78}">
          <x14:formula1>
            <xm:f>Dropdowns!$S$2:$S$4</xm:f>
          </x14:formula1>
          <xm:sqref>G27:G63</xm:sqref>
        </x14:dataValidation>
        <x14:dataValidation type="list" allowBlank="1" showInputMessage="1" showErrorMessage="1" xr:uid="{43F95547-70FE-445E-AE80-424A8C2F7DDA}">
          <x14:formula1>
            <xm:f>IF($G27=Dropdowns!$S$6, Market_Based_EF, IF($G27=Dropdowns!$S$11, Location_Based_EF, IF($G27=Dropdowns!$S$15, Heat_Steam)))</xm:f>
          </x14:formula1>
          <xm:sqref>H27:H63</xm:sqref>
        </x14:dataValidation>
        <x14:dataValidation type="list" allowBlank="1" showInputMessage="1" showErrorMessage="1" xr:uid="{D21B989A-9C6C-483A-BA04-628F301D59CB}">
          <x14:formula1>
            <xm:f>IF(AND($G27=Dropdowns!$S$11, $H27=Dropdowns!$S$12), PE_LB_Custom_EF, IF(AND($G27=Dropdowns!$S$6, $H27=Dropdowns!$S$7), PE_MB_Custom_EF, IF(AND($G27=Dropdowns!$S$15, $H27=Dropdowns!$S$16), PE_Heat_Custom_EF)))</xm:f>
          </x14:formula1>
          <xm:sqref>I27:I63</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4AC24-73E4-46F7-B017-E134B42FA7EE}">
  <sheetPr codeName="Sheet5">
    <tabColor rgb="FF0070C0"/>
  </sheetPr>
  <dimension ref="B1:S56"/>
  <sheetViews>
    <sheetView showGridLines="0" showRowColHeaders="0" topLeftCell="A4" zoomScale="85" zoomScaleNormal="85" workbookViewId="0">
      <selection activeCell="F30" sqref="F30"/>
    </sheetView>
  </sheetViews>
  <sheetFormatPr baseColWidth="10" defaultColWidth="9.140625" defaultRowHeight="15"/>
  <cols>
    <col min="2" max="2" width="8.7109375"/>
    <col min="3" max="3" width="18.85546875" customWidth="1"/>
    <col min="4" max="4" width="21.28515625" customWidth="1"/>
    <col min="5" max="5" width="22.42578125" customWidth="1"/>
    <col min="6" max="6" width="23.7109375" customWidth="1"/>
    <col min="7" max="7" width="19.28515625" customWidth="1"/>
    <col min="8" max="8" width="21.5703125" hidden="1" customWidth="1"/>
    <col min="9" max="9" width="23.140625" customWidth="1"/>
    <col min="10" max="10" width="55" customWidth="1"/>
    <col min="11" max="11" width="19.28515625" customWidth="1"/>
    <col min="12" max="12" width="15.28515625" customWidth="1"/>
    <col min="13" max="13" width="17.28515625" customWidth="1"/>
    <col min="14" max="14" width="14.28515625" customWidth="1"/>
    <col min="15" max="15" width="16.42578125" customWidth="1"/>
    <col min="16" max="16" width="17.7109375" customWidth="1"/>
    <col min="17" max="17" width="16.28515625" customWidth="1"/>
    <col min="18" max="18" width="17.140625" customWidth="1"/>
    <col min="19" max="19" width="65" customWidth="1"/>
  </cols>
  <sheetData>
    <row r="1" spans="2:16" s="363" customFormat="1"/>
    <row r="2" spans="2:16" s="363" customFormat="1"/>
    <row r="3" spans="2:16" s="363" customFormat="1"/>
    <row r="4" spans="2:16" s="363" customFormat="1"/>
    <row r="5" spans="2:16" s="363" customFormat="1"/>
    <row r="6" spans="2:16" s="363" customFormat="1"/>
    <row r="7" spans="2:16" s="363" customFormat="1"/>
    <row r="8" spans="2:16" s="325" customFormat="1" ht="26.25">
      <c r="B8" s="488" t="s">
        <v>1379</v>
      </c>
      <c r="C8" s="326"/>
    </row>
    <row r="9" spans="2:16" s="373" customFormat="1" ht="21.75" thickBot="1">
      <c r="C9" s="372"/>
    </row>
    <row r="10" spans="2:16" s="373" customFormat="1" ht="21">
      <c r="C10" s="436"/>
      <c r="D10" s="431"/>
      <c r="E10" s="431"/>
      <c r="F10" s="431"/>
      <c r="G10" s="431"/>
      <c r="H10" s="431"/>
      <c r="I10" s="431"/>
      <c r="J10" s="432"/>
    </row>
    <row r="11" spans="2:16" s="373" customFormat="1" ht="12" customHeight="1">
      <c r="C11" s="992" t="s">
        <v>1380</v>
      </c>
      <c r="D11" s="859"/>
      <c r="E11" s="859"/>
      <c r="F11" s="859"/>
      <c r="G11" s="859"/>
      <c r="H11" s="859"/>
      <c r="I11" s="859"/>
      <c r="J11" s="993"/>
      <c r="K11" s="360"/>
      <c r="L11" s="360"/>
      <c r="M11" s="360"/>
      <c r="N11" s="360"/>
      <c r="O11" s="360"/>
      <c r="P11" s="360"/>
    </row>
    <row r="12" spans="2:16" s="373" customFormat="1" ht="24" customHeight="1">
      <c r="C12" s="992"/>
      <c r="D12" s="859"/>
      <c r="E12" s="859"/>
      <c r="F12" s="859"/>
      <c r="G12" s="859"/>
      <c r="H12" s="859"/>
      <c r="I12" s="859"/>
      <c r="J12" s="993"/>
    </row>
    <row r="13" spans="2:16" s="373" customFormat="1" ht="21">
      <c r="C13" s="441"/>
      <c r="J13" s="442"/>
    </row>
    <row r="14" spans="2:16" s="373" customFormat="1" ht="49.9" customHeight="1">
      <c r="C14" s="992" t="s">
        <v>1381</v>
      </c>
      <c r="D14" s="859"/>
      <c r="E14" s="859"/>
      <c r="F14" s="859"/>
      <c r="G14" s="859"/>
      <c r="J14" s="442"/>
    </row>
    <row r="15" spans="2:16" s="373" customFormat="1" ht="12" customHeight="1">
      <c r="C15" s="441"/>
      <c r="J15" s="442"/>
    </row>
    <row r="16" spans="2:16" s="373" customFormat="1" ht="21">
      <c r="C16" s="426" t="s">
        <v>1205</v>
      </c>
      <c r="J16" s="442"/>
    </row>
    <row r="17" spans="3:19" s="373" customFormat="1" ht="21">
      <c r="C17" s="441"/>
      <c r="J17" s="442"/>
    </row>
    <row r="18" spans="3:19">
      <c r="C18" s="443" t="s">
        <v>1382</v>
      </c>
      <c r="J18" s="444"/>
    </row>
    <row r="19" spans="3:19">
      <c r="C19" s="443" t="s">
        <v>1383</v>
      </c>
      <c r="J19" s="444"/>
    </row>
    <row r="20" spans="3:19">
      <c r="C20" s="443"/>
      <c r="J20" s="444"/>
    </row>
    <row r="21" spans="3:19" ht="15.75" thickBot="1">
      <c r="C21" s="440"/>
      <c r="D21" s="635"/>
      <c r="E21" s="635"/>
      <c r="F21" s="635"/>
      <c r="G21" s="635"/>
      <c r="H21" s="635"/>
      <c r="I21" s="635"/>
      <c r="J21" s="636"/>
    </row>
    <row r="22" spans="3:19">
      <c r="C22" s="243"/>
    </row>
    <row r="24" spans="3:19" ht="15.75">
      <c r="C24" s="934" t="s">
        <v>206</v>
      </c>
      <c r="D24" s="934" t="s">
        <v>1226</v>
      </c>
      <c r="E24" s="934" t="s">
        <v>1384</v>
      </c>
      <c r="F24" s="934" t="s">
        <v>1385</v>
      </c>
      <c r="G24" s="934" t="s">
        <v>1386</v>
      </c>
      <c r="H24" s="637"/>
      <c r="I24" s="935" t="s">
        <v>77</v>
      </c>
      <c r="J24" s="935" t="s">
        <v>205</v>
      </c>
      <c r="K24" s="997"/>
      <c r="L24" s="998"/>
      <c r="M24" s="996" t="s">
        <v>1387</v>
      </c>
      <c r="N24" s="997"/>
      <c r="O24" s="997"/>
      <c r="P24" s="997"/>
      <c r="Q24" s="998"/>
      <c r="R24" s="924" t="s">
        <v>1208</v>
      </c>
      <c r="S24" s="925"/>
    </row>
    <row r="25" spans="3:19" ht="46.5" customHeight="1">
      <c r="C25" s="935"/>
      <c r="D25" s="935"/>
      <c r="E25" s="935"/>
      <c r="F25" s="935"/>
      <c r="G25" s="935"/>
      <c r="H25" s="637"/>
      <c r="I25" s="994"/>
      <c r="J25" s="995"/>
      <c r="K25" s="837" t="s">
        <v>1388</v>
      </c>
      <c r="L25" s="837" t="s">
        <v>1389</v>
      </c>
      <c r="M25" s="837" t="s">
        <v>1213</v>
      </c>
      <c r="N25" s="837" t="s">
        <v>1214</v>
      </c>
      <c r="O25" s="837" t="s">
        <v>1215</v>
      </c>
      <c r="P25" s="638" t="s">
        <v>1232</v>
      </c>
      <c r="Q25" s="837" t="s">
        <v>1233</v>
      </c>
      <c r="R25" s="638" t="s">
        <v>1218</v>
      </c>
      <c r="S25" s="638" t="s">
        <v>112</v>
      </c>
    </row>
    <row r="26" spans="3:19" ht="15.75">
      <c r="C26" s="763"/>
      <c r="D26" s="408"/>
      <c r="E26" s="395"/>
      <c r="F26" s="395"/>
      <c r="G26" s="764"/>
      <c r="H26" s="413"/>
      <c r="I26" s="409"/>
      <c r="J26" s="395"/>
      <c r="K26" s="408"/>
      <c r="L26" s="395"/>
      <c r="M26" s="445"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FALSE)/IF(VLOOKUP(J26, S3_Transport_EF[], 9,FALSE) =Table15[[#This Row],[Column14]], 1, VLOOKUP(VLOOKUP(J26, S3_Transport_EF[], 9,FALSE)&amp;"_to_"&amp;Table15[[#This Row],[Column14]], Conversions!$B$52:$F$162, Conversions!$E$52, FALSE))*Table15[[#This Row],[Column13]]/1000, "")), "")), "")</f>
        <v/>
      </c>
      <c r="N26" s="396"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26" s="396"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26" s="396" t="str">
        <f>IFERROR(IF(Parameters!$D$19="2014 IPCC Fifth Assessment", (M26*Data!$AJ$5)+(N26*Data!$AJ$6)+(O26*Data!$AJ$7), (M26*Data!$AI$5)+(N26*Data!$AI$6)+(O26*Data!$AI$7)), "")</f>
        <v/>
      </c>
      <c r="Q26" s="396" t="str">
        <f>_xlfn.IFNA(IF(VLOOKUP(Table15[[#This Row],[Column7]], S3_Transport_EF[], 6, FALSE) = "Yes", _xlfn.IFNA(VLOOKUP(J26, S3_Transport_EF[], 'Emission Factors'!$D$420, FALSE)/IF(VLOOKUP(J26, S3_Transport_EF[], 9,FALSE) =Table15[[#This Row],[Column14]], 1, VLOOKUP(VLOOKUP(J26, S3_Transport_EF[], 9,FALSE)&amp;"_to_"&amp;Table15[[#This Row],[Column14]], Conversions!$B$52:$F$162, Conversions!$E$52, FALSE))*Table15[[#This Row],[Column13]]/1000, ""), 0), "")</f>
        <v/>
      </c>
      <c r="R26" s="401" t="str">
        <f>IF(Table15[[#This Row],[Column4]]="Custom emission factor", _xlfn.IFNA(VLOOKUP(Table15[[#This Row],[Column6]], Custom_EF[], 9, FALSE), ""), _xlfn.IFNA(VLOOKUP(Table15[[#This Row],[Column7]], S3_Transport_EF[], IF(Parameters!$D$19="2014 IPCC Fifth Assessment", 'Emission Factors'!$I$420, 'Emission Factors'!$H$420), FALSE), ""))</f>
        <v/>
      </c>
      <c r="S26" s="380" t="str">
        <f>_xlfn.IFNA(IF(Table15[[#This Row],[Column4]]&lt;&gt;"Custom emission factor", VLOOKUP(Table15[[#This Row],[Column7]], S3_Transport_EF[], 'Emission Factors'!$K$420, FALSE), VLOOKUP(Table15[[#This Row],[Column6]], Custom_EF[], 4, FALSE)), "")</f>
        <v/>
      </c>
    </row>
    <row r="27" spans="3:19" ht="15.75">
      <c r="C27" s="765"/>
      <c r="D27" s="766"/>
      <c r="E27" s="397"/>
      <c r="F27" s="397"/>
      <c r="G27" s="767"/>
      <c r="H27" s="414"/>
      <c r="I27" s="409"/>
      <c r="J27" s="395"/>
      <c r="K27" s="402"/>
      <c r="L27" s="395"/>
      <c r="M27" s="446"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FALSE)/IF(VLOOKUP(J27, S3_Transport_EF[], 9,FALSE) =Table15[[#This Row],[Column14]], 1, VLOOKUP(VLOOKUP(J27, S3_Transport_EF[], 9,FALSE)&amp;"_to_"&amp;Table15[[#This Row],[Column14]], Conversions!$B$52:$F$162, Conversions!$E$52, FALSE))*Table15[[#This Row],[Column13]]/1000, "")), "")), "")</f>
        <v/>
      </c>
      <c r="N27" s="410"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27" s="410"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27" s="410" t="str">
        <f>IFERROR(IF(Parameters!$D$19="2014 IPCC Fifth Assessment", (M27*Data!$AJ$5)+(N27*Data!$AJ$6)+(O27*Data!$AJ$7), (M27*Data!$AI$5)+(N27*Data!$AI$6)+(O27*Data!$AI$7)), "")</f>
        <v/>
      </c>
      <c r="Q27" s="403" t="str">
        <f>_xlfn.IFNA(IF(VLOOKUP(Table15[[#This Row],[Column7]], S3_Transport_EF[], 6, FALSE) = "Yes", _xlfn.IFNA(VLOOKUP(J27, S3_Transport_EF[], 'Emission Factors'!$D$420, FALSE)/IF(VLOOKUP(J27, S3_Transport_EF[], 9,FALSE) =Table15[[#This Row],[Column14]], 1, VLOOKUP(VLOOKUP(J27, S3_Transport_EF[], 9,FALSE)&amp;"_to_"&amp;Table15[[#This Row],[Column14]], Conversions!$B$52:$F$162, Conversions!$E$52, FALSE))*Table15[[#This Row],[Column13]]/1000, ""), 0), "")</f>
        <v/>
      </c>
      <c r="R27" s="404" t="str">
        <f>IF(Table15[[#This Row],[Column4]]="Custom emission factor", _xlfn.IFNA(VLOOKUP(Table15[[#This Row],[Column6]], Custom_EF[], 9, FALSE), ""), _xlfn.IFNA(VLOOKUP(Table15[[#This Row],[Column7]], S3_Transport_EF[], IF(Parameters!$D$19="2014 IPCC Fifth Assessment", 'Emission Factors'!$I$420, 'Emission Factors'!$H$420), FALSE), ""))</f>
        <v/>
      </c>
      <c r="S27" s="381" t="str">
        <f>_xlfn.IFNA(IF(Table15[[#This Row],[Column4]]&lt;&gt;"Custom emission factor", VLOOKUP(Table15[[#This Row],[Column7]], S3_Transport_EF[], 'Emission Factors'!$K$420, FALSE), VLOOKUP(Table15[[#This Row],[Column6]], Custom_EF[], 4, FALSE)), "")</f>
        <v/>
      </c>
    </row>
    <row r="28" spans="3:19" ht="15.75">
      <c r="C28" s="765"/>
      <c r="D28" s="766"/>
      <c r="E28" s="397"/>
      <c r="F28" s="397"/>
      <c r="G28" s="767"/>
      <c r="H28" s="414"/>
      <c r="I28" s="409"/>
      <c r="J28" s="395"/>
      <c r="K28" s="402"/>
      <c r="L28" s="395"/>
      <c r="M28" s="446"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FALSE)/IF(VLOOKUP(J28, S3_Transport_EF[], 9,FALSE) =Table15[[#This Row],[Column14]], 1, VLOOKUP(VLOOKUP(J28, S3_Transport_EF[], 9,FALSE)&amp;"_to_"&amp;Table15[[#This Row],[Column14]], Conversions!$B$52:$F$162, Conversions!$E$52, FALSE))*Table15[[#This Row],[Column13]]/1000, "")), "")), "")</f>
        <v/>
      </c>
      <c r="N28" s="410"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28" s="410"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28" s="410" t="str">
        <f>IFERROR(IF(Parameters!$D$19="2014 IPCC Fifth Assessment", (M28*Data!$AJ$5)+(N28*Data!$AJ$6)+(O28*Data!$AJ$7), (M28*Data!$AI$5)+(N28*Data!$AI$6)+(O28*Data!$AI$7)), "")</f>
        <v/>
      </c>
      <c r="Q28" s="403" t="str">
        <f>_xlfn.IFNA(IF(VLOOKUP(Table15[[#This Row],[Column7]], S3_Transport_EF[], 6, FALSE) = "Yes", _xlfn.IFNA(VLOOKUP(J28, S3_Transport_EF[], 'Emission Factors'!$D$420, FALSE)/IF(VLOOKUP(J28, S3_Transport_EF[], 9,FALSE) =Table15[[#This Row],[Column14]], 1, VLOOKUP(VLOOKUP(J28, S3_Transport_EF[], 9,FALSE)&amp;"_to_"&amp;Table15[[#This Row],[Column14]], Conversions!$B$52:$F$162, Conversions!$E$52, FALSE))*Table15[[#This Row],[Column13]]/1000, ""), 0), "")</f>
        <v/>
      </c>
      <c r="R28" s="404" t="str">
        <f>IF(Table15[[#This Row],[Column4]]="Custom emission factor", _xlfn.IFNA(VLOOKUP(Table15[[#This Row],[Column6]], Custom_EF[], 9, FALSE), ""), _xlfn.IFNA(VLOOKUP(Table15[[#This Row],[Column7]], S3_Transport_EF[], IF(Parameters!$D$19="2014 IPCC Fifth Assessment", 'Emission Factors'!$I$420, 'Emission Factors'!$H$420), FALSE), ""))</f>
        <v/>
      </c>
      <c r="S28" s="381" t="str">
        <f>_xlfn.IFNA(IF(Table15[[#This Row],[Column4]]&lt;&gt;"Custom emission factor", VLOOKUP(Table15[[#This Row],[Column7]], S3_Transport_EF[], 'Emission Factors'!$K$420, FALSE), VLOOKUP(Table15[[#This Row],[Column6]], Custom_EF[], 4, FALSE)), "")</f>
        <v/>
      </c>
    </row>
    <row r="29" spans="3:19" ht="15.75">
      <c r="C29" s="765"/>
      <c r="D29" s="766"/>
      <c r="E29" s="397"/>
      <c r="F29" s="397"/>
      <c r="G29" s="767"/>
      <c r="H29" s="414"/>
      <c r="I29" s="409"/>
      <c r="J29" s="395"/>
      <c r="K29" s="402"/>
      <c r="L29" s="395"/>
      <c r="M29" s="446"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FALSE)/IF(VLOOKUP(J29, S3_Transport_EF[], 9,FALSE) =Table15[[#This Row],[Column14]], 1, VLOOKUP(VLOOKUP(J29, S3_Transport_EF[], 9,FALSE)&amp;"_to_"&amp;Table15[[#This Row],[Column14]], Conversions!$B$52:$F$162, Conversions!$E$52, FALSE))*Table15[[#This Row],[Column13]]/1000, "")), "")), "")</f>
        <v/>
      </c>
      <c r="N29" s="410"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29" s="410"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29" s="410" t="str">
        <f>IFERROR(IF(Parameters!$D$19="2014 IPCC Fifth Assessment", (M29*Data!$AJ$5)+(N29*Data!$AJ$6)+(O29*Data!$AJ$7), (M29*Data!$AI$5)+(N29*Data!$AI$6)+(O29*Data!$AI$7)), "")</f>
        <v/>
      </c>
      <c r="Q29" s="403" t="str">
        <f>_xlfn.IFNA(IF(VLOOKUP(Table15[[#This Row],[Column7]], S3_Transport_EF[], 6, FALSE) = "Yes", _xlfn.IFNA(VLOOKUP(J29, S3_Transport_EF[], 'Emission Factors'!$D$420, FALSE)/IF(VLOOKUP(J29, S3_Transport_EF[], 9,FALSE) =Table15[[#This Row],[Column14]], 1, VLOOKUP(VLOOKUP(J29, S3_Transport_EF[], 9,FALSE)&amp;"_to_"&amp;Table15[[#This Row],[Column14]], Conversions!$B$52:$F$162, Conversions!$E$52, FALSE))*Table15[[#This Row],[Column13]]/1000, ""), 0), "")</f>
        <v/>
      </c>
      <c r="R29" s="404" t="str">
        <f>IF(Table15[[#This Row],[Column4]]="Custom emission factor", _xlfn.IFNA(VLOOKUP(Table15[[#This Row],[Column6]], Custom_EF[], 9, FALSE), ""), _xlfn.IFNA(VLOOKUP(Table15[[#This Row],[Column7]], S3_Transport_EF[], IF(Parameters!$D$19="2014 IPCC Fifth Assessment", 'Emission Factors'!$I$420, 'Emission Factors'!$H$420), FALSE), ""))</f>
        <v/>
      </c>
      <c r="S29" s="381" t="str">
        <f>_xlfn.IFNA(IF(Table15[[#This Row],[Column4]]&lt;&gt;"Custom emission factor", VLOOKUP(Table15[[#This Row],[Column7]], S3_Transport_EF[], 'Emission Factors'!$K$420, FALSE), VLOOKUP(Table15[[#This Row],[Column6]], Custom_EF[], 4, FALSE)), "")</f>
        <v/>
      </c>
    </row>
    <row r="30" spans="3:19" ht="15.75">
      <c r="C30" s="765"/>
      <c r="D30" s="766"/>
      <c r="E30" s="397"/>
      <c r="F30" s="397"/>
      <c r="G30" s="767"/>
      <c r="H30" s="414" t="str">
        <f>IF(AND(OR(Table15[[#This Row],[Column3]]="Employee Commute", Table15[[#This Row],[Column3]]="Business Travel"), Table15[[#This Row],[Column4]]="UK DEFRA", Table15[[#This Row],[Column5]]="Air", Parameters!$D$22="Yes"), "Yes", "")</f>
        <v/>
      </c>
      <c r="I30" s="409"/>
      <c r="J30" s="395"/>
      <c r="K30" s="402"/>
      <c r="L30" s="395"/>
      <c r="M30" s="446"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FALSE)/IF(VLOOKUP(J30, S3_Transport_EF[], 9,FALSE) =Table15[[#This Row],[Column14]], 1, VLOOKUP(VLOOKUP(J30, S3_Transport_EF[], 9,FALSE)&amp;"_to_"&amp;Table15[[#This Row],[Column14]], Conversions!$B$52:$F$162, Conversions!$E$52, FALSE))*Table15[[#This Row],[Column13]]/1000, "")), "")), "")</f>
        <v/>
      </c>
      <c r="N30" s="410"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30" s="410"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30" s="410" t="str">
        <f>IFERROR(IF(Parameters!$D$19="2014 IPCC Fifth Assessment", (M30*Data!$AJ$5)+(N30*Data!$AJ$6)+(O30*Data!$AJ$7), (M30*Data!$AI$5)+(N30*Data!$AI$6)+(O30*Data!$AI$7)), "")</f>
        <v/>
      </c>
      <c r="Q30" s="403" t="str">
        <f>_xlfn.IFNA(IF(VLOOKUP(Table15[[#This Row],[Column7]], S3_Transport_EF[], 6, FALSE) = "Yes", _xlfn.IFNA(VLOOKUP(J30, S3_Transport_EF[], 'Emission Factors'!$D$420, FALSE)/IF(VLOOKUP(J30, S3_Transport_EF[], 9,FALSE) =Table15[[#This Row],[Column14]], 1, VLOOKUP(VLOOKUP(J30, S3_Transport_EF[], 9,FALSE)&amp;"_to_"&amp;Table15[[#This Row],[Column14]], Conversions!$B$52:$F$162, Conversions!$E$52, FALSE))*Table15[[#This Row],[Column13]]/1000, ""), 0), "")</f>
        <v/>
      </c>
      <c r="R30" s="404" t="str">
        <f>IF(Table15[[#This Row],[Column4]]="Custom emission factor", _xlfn.IFNA(VLOOKUP(Table15[[#This Row],[Column6]], Custom_EF[], 9, FALSE), ""), _xlfn.IFNA(VLOOKUP(Table15[[#This Row],[Column7]], S3_Transport_EF[], IF(Parameters!$D$19="2014 IPCC Fifth Assessment", 'Emission Factors'!$I$420, 'Emission Factors'!$H$420), FALSE), ""))</f>
        <v/>
      </c>
      <c r="S30" s="381" t="str">
        <f>_xlfn.IFNA(IF(Table15[[#This Row],[Column4]]&lt;&gt;"Custom emission factor", VLOOKUP(Table15[[#This Row],[Column7]], S3_Transport_EF[], 'Emission Factors'!$K$420, FALSE), VLOOKUP(Table15[[#This Row],[Column6]], Custom_EF[], 4, FALSE)), "")</f>
        <v/>
      </c>
    </row>
    <row r="31" spans="3:19" ht="15.75">
      <c r="C31" s="765"/>
      <c r="D31" s="766"/>
      <c r="E31" s="397"/>
      <c r="F31" s="397"/>
      <c r="G31" s="767"/>
      <c r="H31" s="414" t="str">
        <f>IF(AND(OR(Table15[[#This Row],[Column3]]="Employee Commute", Table15[[#This Row],[Column3]]="Business Travel"), Table15[[#This Row],[Column4]]="UK DEFRA", Table15[[#This Row],[Column5]]="Air", Parameters!$D$22="Yes"), "Yes", "")</f>
        <v/>
      </c>
      <c r="I31" s="409"/>
      <c r="J31" s="395"/>
      <c r="K31" s="402"/>
      <c r="L31" s="395"/>
      <c r="M31" s="446"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FALSE)/IF(VLOOKUP(J31, S3_Transport_EF[], 9,FALSE) =Table15[[#This Row],[Column14]], 1, VLOOKUP(VLOOKUP(J31, S3_Transport_EF[], 9,FALSE)&amp;"_to_"&amp;Table15[[#This Row],[Column14]], Conversions!$B$52:$F$162, Conversions!$E$52, FALSE))*Table15[[#This Row],[Column13]]/1000, "")), "")), "")</f>
        <v/>
      </c>
      <c r="N31" s="410"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31" s="410"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31" s="410" t="str">
        <f>IFERROR(IF(Parameters!$D$19="2014 IPCC Fifth Assessment", (M31*Data!$AJ$5)+(N31*Data!$AJ$6)+(O31*Data!$AJ$7), (M31*Data!$AI$5)+(N31*Data!$AI$6)+(O31*Data!$AI$7)), "")</f>
        <v/>
      </c>
      <c r="Q31" s="403" t="str">
        <f>_xlfn.IFNA(IF(VLOOKUP(Table15[[#This Row],[Column7]], S3_Transport_EF[], 6, FALSE) = "Yes", _xlfn.IFNA(VLOOKUP(J31, S3_Transport_EF[], 'Emission Factors'!$D$420, FALSE)/IF(VLOOKUP(J31, S3_Transport_EF[], 9,FALSE) =Table15[[#This Row],[Column14]], 1, VLOOKUP(VLOOKUP(J31, S3_Transport_EF[], 9,FALSE)&amp;"_to_"&amp;Table15[[#This Row],[Column14]], Conversions!$B$52:$F$162, Conversions!$E$52, FALSE))*Table15[[#This Row],[Column13]]/1000, ""), 0), "")</f>
        <v/>
      </c>
      <c r="R31" s="404" t="str">
        <f>IF(Table15[[#This Row],[Column4]]="Custom emission factor", _xlfn.IFNA(VLOOKUP(Table15[[#This Row],[Column6]], Custom_EF[], 9, FALSE), ""), _xlfn.IFNA(VLOOKUP(Table15[[#This Row],[Column7]], S3_Transport_EF[], IF(Parameters!$D$19="2014 IPCC Fifth Assessment", 'Emission Factors'!$I$420, 'Emission Factors'!$H$420), FALSE), ""))</f>
        <v/>
      </c>
      <c r="S31" s="381" t="str">
        <f>_xlfn.IFNA(IF(Table15[[#This Row],[Column4]]&lt;&gt;"Custom emission factor", VLOOKUP(Table15[[#This Row],[Column7]], S3_Transport_EF[], 'Emission Factors'!$K$420, FALSE), VLOOKUP(Table15[[#This Row],[Column6]], Custom_EF[], 4, FALSE)), "")</f>
        <v/>
      </c>
    </row>
    <row r="32" spans="3:19" ht="15.75">
      <c r="C32" s="765"/>
      <c r="D32" s="766"/>
      <c r="E32" s="397"/>
      <c r="F32" s="397"/>
      <c r="G32" s="767"/>
      <c r="H32" s="414" t="str">
        <f>IF(AND(OR(Table15[[#This Row],[Column3]]="Employee Commute", Table15[[#This Row],[Column3]]="Business Travel"), Table15[[#This Row],[Column4]]="UK DEFRA", Table15[[#This Row],[Column5]]="Air", Parameters!$D$22="Yes"), "Yes", "")</f>
        <v/>
      </c>
      <c r="I32" s="409"/>
      <c r="J32" s="395"/>
      <c r="K32" s="402"/>
      <c r="L32" s="395"/>
      <c r="M32" s="446"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FALSE)/IF(VLOOKUP(J32, S3_Transport_EF[], 9,FALSE) =Table15[[#This Row],[Column14]], 1, VLOOKUP(VLOOKUP(J32, S3_Transport_EF[], 9,FALSE)&amp;"_to_"&amp;Table15[[#This Row],[Column14]], Conversions!$B$52:$F$162, Conversions!$E$52, FALSE))*Table15[[#This Row],[Column13]]/1000, "")), "")), "")</f>
        <v/>
      </c>
      <c r="N32" s="410"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32" s="410"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32" s="410" t="str">
        <f>IFERROR(IF(Parameters!$D$19="2014 IPCC Fifth Assessment", (M32*Data!$AJ$5)+(N32*Data!$AJ$6)+(O32*Data!$AJ$7), (M32*Data!$AI$5)+(N32*Data!$AI$6)+(O32*Data!$AI$7)), "")</f>
        <v/>
      </c>
      <c r="Q32" s="403" t="str">
        <f>_xlfn.IFNA(IF(VLOOKUP(Table15[[#This Row],[Column7]], S3_Transport_EF[], 6, FALSE) = "Yes", _xlfn.IFNA(VLOOKUP(J32, S3_Transport_EF[], 'Emission Factors'!$D$420, FALSE)/IF(VLOOKUP(J32, S3_Transport_EF[], 9,FALSE) =Table15[[#This Row],[Column14]], 1, VLOOKUP(VLOOKUP(J32, S3_Transport_EF[], 9,FALSE)&amp;"_to_"&amp;Table15[[#This Row],[Column14]], Conversions!$B$52:$F$162, Conversions!$E$52, FALSE))*Table15[[#This Row],[Column13]]/1000, ""), 0), "")</f>
        <v/>
      </c>
      <c r="R32" s="404" t="str">
        <f>IF(Table15[[#This Row],[Column4]]="Custom emission factor", _xlfn.IFNA(VLOOKUP(Table15[[#This Row],[Column6]], Custom_EF[], 9, FALSE), ""), _xlfn.IFNA(VLOOKUP(Table15[[#This Row],[Column7]], S3_Transport_EF[], IF(Parameters!$D$19="2014 IPCC Fifth Assessment", 'Emission Factors'!$I$420, 'Emission Factors'!$H$420), FALSE), ""))</f>
        <v/>
      </c>
      <c r="S32" s="381" t="str">
        <f>_xlfn.IFNA(IF(Table15[[#This Row],[Column4]]&lt;&gt;"Custom emission factor", VLOOKUP(Table15[[#This Row],[Column7]], S3_Transport_EF[], 'Emission Factors'!$K$420, FALSE), VLOOKUP(Table15[[#This Row],[Column6]], Custom_EF[], 4, FALSE)), "")</f>
        <v/>
      </c>
    </row>
    <row r="33" spans="3:19" ht="15.75">
      <c r="C33" s="765"/>
      <c r="D33" s="766"/>
      <c r="E33" s="397"/>
      <c r="F33" s="397"/>
      <c r="G33" s="767"/>
      <c r="H33" s="414" t="str">
        <f>IF(AND(OR(Table15[[#This Row],[Column3]]="Employee Commute", Table15[[#This Row],[Column3]]="Business Travel"), Table15[[#This Row],[Column4]]="UK DEFRA", Table15[[#This Row],[Column5]]="Air", Parameters!$D$22="Yes"), "Yes", "")</f>
        <v/>
      </c>
      <c r="I33" s="409"/>
      <c r="J33" s="395"/>
      <c r="K33" s="402"/>
      <c r="L33" s="395"/>
      <c r="M33" s="446"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FALSE)/IF(VLOOKUP(J33, S3_Transport_EF[], 9,FALSE) =Table15[[#This Row],[Column14]], 1, VLOOKUP(VLOOKUP(J33, S3_Transport_EF[], 9,FALSE)&amp;"_to_"&amp;Table15[[#This Row],[Column14]], Conversions!$B$52:$F$162, Conversions!$E$52, FALSE))*Table15[[#This Row],[Column13]]/1000, "")), "")), "")</f>
        <v/>
      </c>
      <c r="N33" s="410"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33" s="410"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33" s="410" t="str">
        <f>IFERROR(IF(Parameters!$D$19="2014 IPCC Fifth Assessment", (M33*Data!$AJ$5)+(N33*Data!$AJ$6)+(O33*Data!$AJ$7), (M33*Data!$AI$5)+(N33*Data!$AI$6)+(O33*Data!$AI$7)), "")</f>
        <v/>
      </c>
      <c r="Q33" s="403" t="str">
        <f>_xlfn.IFNA(IF(VLOOKUP(Table15[[#This Row],[Column7]], S3_Transport_EF[], 6, FALSE) = "Yes", _xlfn.IFNA(VLOOKUP(J33, S3_Transport_EF[], 'Emission Factors'!$D$420, FALSE)/IF(VLOOKUP(J33, S3_Transport_EF[], 9,FALSE) =Table15[[#This Row],[Column14]], 1, VLOOKUP(VLOOKUP(J33, S3_Transport_EF[], 9,FALSE)&amp;"_to_"&amp;Table15[[#This Row],[Column14]], Conversions!$B$52:$F$162, Conversions!$E$52, FALSE))*Table15[[#This Row],[Column13]]/1000, ""), 0), "")</f>
        <v/>
      </c>
      <c r="R33" s="404" t="str">
        <f>IF(Table15[[#This Row],[Column4]]="Custom emission factor", _xlfn.IFNA(VLOOKUP(Table15[[#This Row],[Column6]], Custom_EF[], 9, FALSE), ""), _xlfn.IFNA(VLOOKUP(Table15[[#This Row],[Column7]], S3_Transport_EF[], IF(Parameters!$D$19="2014 IPCC Fifth Assessment", 'Emission Factors'!$I$420, 'Emission Factors'!$H$420), FALSE), ""))</f>
        <v/>
      </c>
      <c r="S33" s="381" t="str">
        <f>_xlfn.IFNA(IF(Table15[[#This Row],[Column4]]&lt;&gt;"Custom emission factor", VLOOKUP(Table15[[#This Row],[Column7]], S3_Transport_EF[], 'Emission Factors'!$K$420, FALSE), VLOOKUP(Table15[[#This Row],[Column6]], Custom_EF[], 4, FALSE)), "")</f>
        <v/>
      </c>
    </row>
    <row r="34" spans="3:19" ht="15.75">
      <c r="C34" s="765"/>
      <c r="D34" s="766"/>
      <c r="E34" s="397"/>
      <c r="F34" s="397"/>
      <c r="G34" s="767"/>
      <c r="H34" s="414" t="str">
        <f>IF(AND(OR(Table15[[#This Row],[Column3]]="Employee Commute", Table15[[#This Row],[Column3]]="Business Travel"), Table15[[#This Row],[Column4]]="UK DEFRA", Table15[[#This Row],[Column5]]="Air", Parameters!$D$22="Yes"), "Yes", "")</f>
        <v/>
      </c>
      <c r="I34" s="409"/>
      <c r="J34" s="395"/>
      <c r="K34" s="402"/>
      <c r="L34" s="395"/>
      <c r="M34" s="446"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FALSE)/IF(VLOOKUP(J34, S3_Transport_EF[], 9,FALSE) =Table15[[#This Row],[Column14]], 1, VLOOKUP(VLOOKUP(J34, S3_Transport_EF[], 9,FALSE)&amp;"_to_"&amp;Table15[[#This Row],[Column14]], Conversions!$B$52:$F$162, Conversions!$E$52, FALSE))*Table15[[#This Row],[Column13]]/1000, "")), "")), "")</f>
        <v/>
      </c>
      <c r="N34" s="410"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34" s="410"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34" s="410" t="str">
        <f>IFERROR(IF(Parameters!$D$19="2014 IPCC Fifth Assessment", (M34*Data!$AJ$5)+(N34*Data!$AJ$6)+(O34*Data!$AJ$7), (M34*Data!$AI$5)+(N34*Data!$AI$6)+(O34*Data!$AI$7)), "")</f>
        <v/>
      </c>
      <c r="Q34" s="403" t="str">
        <f>_xlfn.IFNA(IF(VLOOKUP(Table15[[#This Row],[Column7]], S3_Transport_EF[], 6, FALSE) = "Yes", _xlfn.IFNA(VLOOKUP(J34, S3_Transport_EF[], 'Emission Factors'!$D$420, FALSE)/IF(VLOOKUP(J34, S3_Transport_EF[], 9,FALSE) =Table15[[#This Row],[Column14]], 1, VLOOKUP(VLOOKUP(J34, S3_Transport_EF[], 9,FALSE)&amp;"_to_"&amp;Table15[[#This Row],[Column14]], Conversions!$B$52:$F$162, Conversions!$E$52, FALSE))*Table15[[#This Row],[Column13]]/1000, ""), 0), "")</f>
        <v/>
      </c>
      <c r="R34" s="404" t="str">
        <f>IF(Table15[[#This Row],[Column4]]="Custom emission factor", _xlfn.IFNA(VLOOKUP(Table15[[#This Row],[Column6]], Custom_EF[], 9, FALSE), ""), _xlfn.IFNA(VLOOKUP(Table15[[#This Row],[Column7]], S3_Transport_EF[], IF(Parameters!$D$19="2014 IPCC Fifth Assessment", 'Emission Factors'!$I$420, 'Emission Factors'!$H$420), FALSE), ""))</f>
        <v/>
      </c>
      <c r="S34" s="381" t="str">
        <f>_xlfn.IFNA(IF(Table15[[#This Row],[Column4]]&lt;&gt;"Custom emission factor", VLOOKUP(Table15[[#This Row],[Column7]], S3_Transport_EF[], 'Emission Factors'!$K$420, FALSE), VLOOKUP(Table15[[#This Row],[Column6]], Custom_EF[], 4, FALSE)), "")</f>
        <v/>
      </c>
    </row>
    <row r="35" spans="3:19" ht="15.75">
      <c r="C35" s="765"/>
      <c r="D35" s="766"/>
      <c r="E35" s="397"/>
      <c r="F35" s="397"/>
      <c r="G35" s="767"/>
      <c r="H35" s="414" t="str">
        <f>IF(AND(OR(Table15[[#This Row],[Column3]]="Employee Commute", Table15[[#This Row],[Column3]]="Business Travel"), Table15[[#This Row],[Column4]]="UK DEFRA", Table15[[#This Row],[Column5]]="Air", Parameters!$D$22="Yes"), "Yes", "")</f>
        <v/>
      </c>
      <c r="I35" s="409"/>
      <c r="J35" s="395"/>
      <c r="K35" s="402"/>
      <c r="L35" s="395"/>
      <c r="M35" s="446"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FALSE)/IF(VLOOKUP(J35, S3_Transport_EF[], 9,FALSE) =Table15[[#This Row],[Column14]], 1, VLOOKUP(VLOOKUP(J35, S3_Transport_EF[], 9,FALSE)&amp;"_to_"&amp;Table15[[#This Row],[Column14]], Conversions!$B$52:$F$162, Conversions!$E$52, FALSE))*Table15[[#This Row],[Column13]]/1000, "")), "")), "")</f>
        <v/>
      </c>
      <c r="N35" s="410"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35" s="410"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35" s="410" t="str">
        <f>IFERROR(IF(Parameters!$D$19="2014 IPCC Fifth Assessment", (M35*Data!$AJ$5)+(N35*Data!$AJ$6)+(O35*Data!$AJ$7), (M35*Data!$AI$5)+(N35*Data!$AI$6)+(O35*Data!$AI$7)), "")</f>
        <v/>
      </c>
      <c r="Q35" s="403" t="str">
        <f>_xlfn.IFNA(IF(VLOOKUP(Table15[[#This Row],[Column7]], S3_Transport_EF[], 6, FALSE) = "Yes", _xlfn.IFNA(VLOOKUP(J35, S3_Transport_EF[], 'Emission Factors'!$D$420, FALSE)/IF(VLOOKUP(J35, S3_Transport_EF[], 9,FALSE) =Table15[[#This Row],[Column14]], 1, VLOOKUP(VLOOKUP(J35, S3_Transport_EF[], 9,FALSE)&amp;"_to_"&amp;Table15[[#This Row],[Column14]], Conversions!$B$52:$F$162, Conversions!$E$52, FALSE))*Table15[[#This Row],[Column13]]/1000, ""), 0), "")</f>
        <v/>
      </c>
      <c r="R35" s="404" t="str">
        <f>IF(Table15[[#This Row],[Column4]]="Custom emission factor", _xlfn.IFNA(VLOOKUP(Table15[[#This Row],[Column6]], Custom_EF[], 9, FALSE), ""), _xlfn.IFNA(VLOOKUP(Table15[[#This Row],[Column7]], S3_Transport_EF[], IF(Parameters!$D$19="2014 IPCC Fifth Assessment", 'Emission Factors'!$I$420, 'Emission Factors'!$H$420), FALSE), ""))</f>
        <v/>
      </c>
      <c r="S35" s="381" t="str">
        <f>_xlfn.IFNA(IF(Table15[[#This Row],[Column4]]&lt;&gt;"Custom emission factor", VLOOKUP(Table15[[#This Row],[Column7]], S3_Transport_EF[], 'Emission Factors'!$K$420, FALSE), VLOOKUP(Table15[[#This Row],[Column6]], Custom_EF[], 4, FALSE)), "")</f>
        <v/>
      </c>
    </row>
    <row r="36" spans="3:19" ht="15.75">
      <c r="C36" s="768"/>
      <c r="D36" s="766"/>
      <c r="E36" s="397"/>
      <c r="F36" s="397"/>
      <c r="G36" s="767"/>
      <c r="H36" s="414" t="str">
        <f>IF(AND(OR(Table15[[#This Row],[Column3]]="Employee Commute", Table15[[#This Row],[Column3]]="Business Travel"), Table15[[#This Row],[Column4]]="UK DEFRA", Table15[[#This Row],[Column5]]="Air", Parameters!$D$22="Yes"), "Yes", "")</f>
        <v/>
      </c>
      <c r="I36" s="409"/>
      <c r="J36" s="397"/>
      <c r="K36" s="402"/>
      <c r="L36" s="395"/>
      <c r="M36" s="447"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FALSE)/IF(VLOOKUP(J36, S3_Transport_EF[], 9,FALSE) =Table15[[#This Row],[Column14]], 1, VLOOKUP(VLOOKUP(J36, S3_Transport_EF[], 9,FALSE)&amp;"_to_"&amp;Table15[[#This Row],[Column14]], Conversions!$B$52:$F$162, Conversions!$E$52, FALSE))*Table15[[#This Row],[Column13]]/1000, "")), "")), "")</f>
        <v/>
      </c>
      <c r="N36" s="411"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36" s="411"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36" s="386" t="str">
        <f>IFERROR(IF(Parameters!$D$19="2014 IPCC Fifth Assessment", (M36*Data!$AJ$5)+(N36*Data!$AJ$6)+(O36*Data!$AJ$7), (M36*Data!$AI$5)+(N36*Data!$AI$6)+(O36*Data!$AI$7)), "")</f>
        <v/>
      </c>
      <c r="Q36" s="403" t="str">
        <f>_xlfn.IFNA(IF(VLOOKUP(Table15[[#This Row],[Column7]], S3_Transport_EF[], 6, FALSE) = "Yes", _xlfn.IFNA(VLOOKUP(J36, S3_Transport_EF[], 'Emission Factors'!$D$420, FALSE)/IF(VLOOKUP(J36, S3_Transport_EF[], 9,FALSE) =Table15[[#This Row],[Column14]], 1, VLOOKUP(VLOOKUP(J36, S3_Transport_EF[], 9,FALSE)&amp;"_to_"&amp;Table15[[#This Row],[Column14]], Conversions!$B$52:$F$162, Conversions!$E$52, FALSE))*Table15[[#This Row],[Column13]]/1000, ""), 0), "")</f>
        <v/>
      </c>
      <c r="R36" s="404" t="str">
        <f>IF(Table15[[#This Row],[Column4]]="Custom emission factor", _xlfn.IFNA(VLOOKUP(Table15[[#This Row],[Column6]], Custom_EF[], 9, FALSE), ""), _xlfn.IFNA(VLOOKUP(Table15[[#This Row],[Column7]], S3_Transport_EF[], IF(Parameters!$D$19="2014 IPCC Fifth Assessment", 'Emission Factors'!$I$420, 'Emission Factors'!$H$420), FALSE), ""))</f>
        <v/>
      </c>
      <c r="S36" s="381" t="str">
        <f>_xlfn.IFNA(IF(Table15[[#This Row],[Column4]]&lt;&gt;"Custom emission factor", VLOOKUP(Table15[[#This Row],[Column7]], S3_Transport_EF[], 'Emission Factors'!$K$420, FALSE), VLOOKUP(Table15[[#This Row],[Column6]], Custom_EF[], 4, FALSE)), "")</f>
        <v/>
      </c>
    </row>
    <row r="37" spans="3:19" ht="15.75">
      <c r="C37" s="768"/>
      <c r="D37" s="766"/>
      <c r="E37" s="397"/>
      <c r="F37" s="397"/>
      <c r="G37" s="767"/>
      <c r="H37" s="414" t="str">
        <f>IF(AND(OR(Table15[[#This Row],[Column3]]="Employee Commute", Table15[[#This Row],[Column3]]="Business Travel"), Table15[[#This Row],[Column4]]="UK DEFRA", Table15[[#This Row],[Column5]]="Air", Parameters!$D$22="Yes"), "Yes", "")</f>
        <v/>
      </c>
      <c r="I37" s="409"/>
      <c r="J37" s="397"/>
      <c r="K37" s="402"/>
      <c r="L37" s="395"/>
      <c r="M37" s="447"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FALSE)/IF(VLOOKUP(J37, S3_Transport_EF[], 9,FALSE) =Table15[[#This Row],[Column14]], 1, VLOOKUP(VLOOKUP(J37, S3_Transport_EF[], 9,FALSE)&amp;"_to_"&amp;Table15[[#This Row],[Column14]], Conversions!$B$52:$F$162, Conversions!$E$52, FALSE))*Table15[[#This Row],[Column13]]/1000, "")), "")), "")</f>
        <v/>
      </c>
      <c r="N37" s="411"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37" s="411"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37" s="410" t="str">
        <f>IFERROR(IF(Parameters!$D$19="2014 IPCC Fifth Assessment", (M37*Data!$AJ$5)+(N37*Data!$AJ$6)+(O37*Data!$AJ$7), (M37*Data!$AI$5)+(N37*Data!$AI$6)+(O37*Data!$AI$7)), "")</f>
        <v/>
      </c>
      <c r="Q37" s="403" t="str">
        <f>_xlfn.IFNA(IF(VLOOKUP(Table15[[#This Row],[Column7]], S3_Transport_EF[], 6, FALSE) = "Yes", _xlfn.IFNA(VLOOKUP(J37, S3_Transport_EF[], 'Emission Factors'!$D$420, FALSE)/IF(VLOOKUP(J37, S3_Transport_EF[], 9,FALSE) =Table15[[#This Row],[Column14]], 1, VLOOKUP(VLOOKUP(J37, S3_Transport_EF[], 9,FALSE)&amp;"_to_"&amp;Table15[[#This Row],[Column14]], Conversions!$B$52:$F$162, Conversions!$E$52, FALSE))*Table15[[#This Row],[Column13]]/1000, ""), 0), "")</f>
        <v/>
      </c>
      <c r="R37" s="404" t="str">
        <f>IF(Table15[[#This Row],[Column4]]="Custom emission factor", _xlfn.IFNA(VLOOKUP(Table15[[#This Row],[Column6]], Custom_EF[], 9, FALSE), ""), _xlfn.IFNA(VLOOKUP(Table15[[#This Row],[Column7]], S3_Transport_EF[], IF(Parameters!$D$19="2014 IPCC Fifth Assessment", 'Emission Factors'!$I$420, 'Emission Factors'!$H$420), FALSE), ""))</f>
        <v/>
      </c>
      <c r="S37" s="381" t="str">
        <f>_xlfn.IFNA(IF(Table15[[#This Row],[Column4]]&lt;&gt;"Custom emission factor", VLOOKUP(Table15[[#This Row],[Column7]], S3_Transport_EF[], 'Emission Factors'!$K$420, FALSE), VLOOKUP(Table15[[#This Row],[Column6]], Custom_EF[], 4, FALSE)), "")</f>
        <v/>
      </c>
    </row>
    <row r="38" spans="3:19" ht="15.75">
      <c r="C38" s="768"/>
      <c r="D38" s="766"/>
      <c r="E38" s="397"/>
      <c r="F38" s="397"/>
      <c r="G38" s="767"/>
      <c r="H38" s="414" t="str">
        <f>IF(AND(OR(Table15[[#This Row],[Column3]]="Employee Commute", Table15[[#This Row],[Column3]]="Business Travel"), Table15[[#This Row],[Column4]]="UK DEFRA", Table15[[#This Row],[Column5]]="Air", Parameters!$D$22="Yes"), "Yes", "")</f>
        <v/>
      </c>
      <c r="I38" s="409"/>
      <c r="J38" s="397"/>
      <c r="K38" s="402"/>
      <c r="L38" s="395"/>
      <c r="M38" s="447"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FALSE)/IF(VLOOKUP(J38, S3_Transport_EF[], 9,FALSE) =Table15[[#This Row],[Column14]], 1, VLOOKUP(VLOOKUP(J38, S3_Transport_EF[], 9,FALSE)&amp;"_to_"&amp;Table15[[#This Row],[Column14]], Conversions!$B$52:$F$162, Conversions!$E$52, FALSE))*Table15[[#This Row],[Column13]]/1000, "")), "")), "")</f>
        <v/>
      </c>
      <c r="N38" s="411"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38" s="411"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38" s="410" t="str">
        <f>IFERROR(IF(Parameters!$D$19="2014 IPCC Fifth Assessment", (M38*Data!$AJ$5)+(N38*Data!$AJ$6)+(O38*Data!$AJ$7), (M38*Data!$AI$5)+(N38*Data!$AI$6)+(O38*Data!$AI$7)), "")</f>
        <v/>
      </c>
      <c r="Q38" s="403" t="str">
        <f>_xlfn.IFNA(IF(VLOOKUP(Table15[[#This Row],[Column7]], S3_Transport_EF[], 6, FALSE) = "Yes", _xlfn.IFNA(VLOOKUP(J38, S3_Transport_EF[], 'Emission Factors'!$D$420, FALSE)/IF(VLOOKUP(J38, S3_Transport_EF[], 9,FALSE) =Table15[[#This Row],[Column14]], 1, VLOOKUP(VLOOKUP(J38, S3_Transport_EF[], 9,FALSE)&amp;"_to_"&amp;Table15[[#This Row],[Column14]], Conversions!$B$52:$F$162, Conversions!$E$52, FALSE))*Table15[[#This Row],[Column13]]/1000, ""), 0), "")</f>
        <v/>
      </c>
      <c r="R38" s="404" t="str">
        <f>IF(Table15[[#This Row],[Column4]]="Custom emission factor", _xlfn.IFNA(VLOOKUP(Table15[[#This Row],[Column6]], Custom_EF[], 9, FALSE), ""), _xlfn.IFNA(VLOOKUP(Table15[[#This Row],[Column7]], S3_Transport_EF[], IF(Parameters!$D$19="2014 IPCC Fifth Assessment", 'Emission Factors'!$I$420, 'Emission Factors'!$H$420), FALSE), ""))</f>
        <v/>
      </c>
      <c r="S38" s="381" t="str">
        <f>_xlfn.IFNA(IF(Table15[[#This Row],[Column4]]&lt;&gt;"Custom emission factor", VLOOKUP(Table15[[#This Row],[Column7]], S3_Transport_EF[], 'Emission Factors'!$K$420, FALSE), VLOOKUP(Table15[[#This Row],[Column6]], Custom_EF[], 4, FALSE)), "")</f>
        <v/>
      </c>
    </row>
    <row r="39" spans="3:19" ht="15.75">
      <c r="C39" s="768"/>
      <c r="D39" s="766"/>
      <c r="E39" s="397"/>
      <c r="F39" s="397"/>
      <c r="G39" s="767"/>
      <c r="H39" s="414" t="str">
        <f>IF(AND(OR(Table15[[#This Row],[Column3]]="Employee Commute", Table15[[#This Row],[Column3]]="Business Travel"), Table15[[#This Row],[Column4]]="UK DEFRA", Table15[[#This Row],[Column5]]="Air", Parameters!$D$22="Yes"), "Yes", "")</f>
        <v/>
      </c>
      <c r="I39" s="409"/>
      <c r="J39" s="397"/>
      <c r="K39" s="402"/>
      <c r="L39" s="395"/>
      <c r="M39" s="447"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FALSE)/IF(VLOOKUP(J39, S3_Transport_EF[], 9,FALSE) =Table15[[#This Row],[Column14]], 1, VLOOKUP(VLOOKUP(J39, S3_Transport_EF[], 9,FALSE)&amp;"_to_"&amp;Table15[[#This Row],[Column14]], Conversions!$B$52:$F$162, Conversions!$E$52, FALSE))*Table15[[#This Row],[Column13]]/1000, "")), "")), "")</f>
        <v/>
      </c>
      <c r="N39" s="411"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39" s="411"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39" s="410" t="str">
        <f>IFERROR(IF(Parameters!$D$19="2014 IPCC Fifth Assessment", (M39*Data!$AJ$5)+(N39*Data!$AJ$6)+(O39*Data!$AJ$7), (M39*Data!$AI$5)+(N39*Data!$AI$6)+(O39*Data!$AI$7)), "")</f>
        <v/>
      </c>
      <c r="Q39" s="403" t="str">
        <f>_xlfn.IFNA(IF(VLOOKUP(Table15[[#This Row],[Column7]], S3_Transport_EF[], 6, FALSE) = "Yes", _xlfn.IFNA(VLOOKUP(J39, S3_Transport_EF[], 'Emission Factors'!$D$420, FALSE)/IF(VLOOKUP(J39, S3_Transport_EF[], 9,FALSE) =Table15[[#This Row],[Column14]], 1, VLOOKUP(VLOOKUP(J39, S3_Transport_EF[], 9,FALSE)&amp;"_to_"&amp;Table15[[#This Row],[Column14]], Conversions!$B$52:$F$162, Conversions!$E$52, FALSE))*Table15[[#This Row],[Column13]]/1000, ""), 0), "")</f>
        <v/>
      </c>
      <c r="R39" s="404" t="str">
        <f>IF(Table15[[#This Row],[Column4]]="Custom emission factor", _xlfn.IFNA(VLOOKUP(Table15[[#This Row],[Column6]], Custom_EF[], 9, FALSE), ""), _xlfn.IFNA(VLOOKUP(Table15[[#This Row],[Column7]], S3_Transport_EF[], IF(Parameters!$D$19="2014 IPCC Fifth Assessment", 'Emission Factors'!$I$420, 'Emission Factors'!$H$420), FALSE), ""))</f>
        <v/>
      </c>
      <c r="S39" s="381" t="str">
        <f>_xlfn.IFNA(IF(Table15[[#This Row],[Column4]]&lt;&gt;"Custom emission factor", VLOOKUP(Table15[[#This Row],[Column7]], S3_Transport_EF[], 'Emission Factors'!$K$420, FALSE), VLOOKUP(Table15[[#This Row],[Column6]], Custom_EF[], 4, FALSE)), "")</f>
        <v/>
      </c>
    </row>
    <row r="40" spans="3:19" ht="15.75">
      <c r="C40" s="768"/>
      <c r="D40" s="766"/>
      <c r="E40" s="397"/>
      <c r="F40" s="397"/>
      <c r="G40" s="767"/>
      <c r="H40" s="414" t="str">
        <f>IF(AND(OR(Table15[[#This Row],[Column3]]="Employee Commute", Table15[[#This Row],[Column3]]="Business Travel"), Table15[[#This Row],[Column4]]="UK DEFRA", Table15[[#This Row],[Column5]]="Air", Parameters!$D$22="Yes"), "Yes", "")</f>
        <v/>
      </c>
      <c r="I40" s="409"/>
      <c r="J40" s="397"/>
      <c r="K40" s="402"/>
      <c r="L40" s="395"/>
      <c r="M40" s="447"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FALSE)/IF(VLOOKUP(J40, S3_Transport_EF[], 9,FALSE) =Table15[[#This Row],[Column14]], 1, VLOOKUP(VLOOKUP(J40, S3_Transport_EF[], 9,FALSE)&amp;"_to_"&amp;Table15[[#This Row],[Column14]], Conversions!$B$52:$F$162, Conversions!$E$52, FALSE))*Table15[[#This Row],[Column13]]/1000, "")), "")), "")</f>
        <v/>
      </c>
      <c r="N40" s="411"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40" s="411"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40" s="410" t="str">
        <f>IFERROR(IF(Parameters!$D$19="2014 IPCC Fifth Assessment", (M40*Data!$AJ$5)+(N40*Data!$AJ$6)+(O40*Data!$AJ$7), (M40*Data!$AI$5)+(N40*Data!$AI$6)+(O40*Data!$AI$7)), "")</f>
        <v/>
      </c>
      <c r="Q40" s="403" t="str">
        <f>_xlfn.IFNA(IF(VLOOKUP(Table15[[#This Row],[Column7]], S3_Transport_EF[], 6, FALSE) = "Yes", _xlfn.IFNA(VLOOKUP(J40, S3_Transport_EF[], 'Emission Factors'!$D$420, FALSE)/IF(VLOOKUP(J40, S3_Transport_EF[], 9,FALSE) =Table15[[#This Row],[Column14]], 1, VLOOKUP(VLOOKUP(J40, S3_Transport_EF[], 9,FALSE)&amp;"_to_"&amp;Table15[[#This Row],[Column14]], Conversions!$B$52:$F$162, Conversions!$E$52, FALSE))*Table15[[#This Row],[Column13]]/1000, ""), 0), "")</f>
        <v/>
      </c>
      <c r="R40" s="404" t="str">
        <f>IF(Table15[[#This Row],[Column4]]="Custom emission factor", _xlfn.IFNA(VLOOKUP(Table15[[#This Row],[Column6]], Custom_EF[], 9, FALSE), ""), _xlfn.IFNA(VLOOKUP(Table15[[#This Row],[Column7]], S3_Transport_EF[], IF(Parameters!$D$19="2014 IPCC Fifth Assessment", 'Emission Factors'!$I$420, 'Emission Factors'!$H$420), FALSE), ""))</f>
        <v/>
      </c>
      <c r="S40" s="381" t="str">
        <f>_xlfn.IFNA(IF(Table15[[#This Row],[Column4]]&lt;&gt;"Custom emission factor", VLOOKUP(Table15[[#This Row],[Column7]], S3_Transport_EF[], 'Emission Factors'!$K$420, FALSE), VLOOKUP(Table15[[#This Row],[Column6]], Custom_EF[], 4, FALSE)), "")</f>
        <v/>
      </c>
    </row>
    <row r="41" spans="3:19" ht="15.75">
      <c r="C41" s="768"/>
      <c r="D41" s="766"/>
      <c r="E41" s="397"/>
      <c r="F41" s="397"/>
      <c r="G41" s="767"/>
      <c r="H41" s="414" t="str">
        <f>IF(AND(OR(Table15[[#This Row],[Column3]]="Employee Commute", Table15[[#This Row],[Column3]]="Business Travel"), Table15[[#This Row],[Column4]]="UK DEFRA", Table15[[#This Row],[Column5]]="Air", Parameters!$D$22="Yes"), "Yes", "")</f>
        <v/>
      </c>
      <c r="I41" s="409"/>
      <c r="J41" s="397"/>
      <c r="K41" s="402"/>
      <c r="L41" s="395"/>
      <c r="M41" s="447"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FALSE)/IF(VLOOKUP(J41, S3_Transport_EF[], 9,FALSE) =Table15[[#This Row],[Column14]], 1, VLOOKUP(VLOOKUP(J41, S3_Transport_EF[], 9,FALSE)&amp;"_to_"&amp;Table15[[#This Row],[Column14]], Conversions!$B$52:$F$162, Conversions!$E$52, FALSE))*Table15[[#This Row],[Column13]]/1000, "")), "")), "")</f>
        <v/>
      </c>
      <c r="N41" s="411"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41" s="411"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41" s="410" t="str">
        <f>IFERROR(IF(Parameters!$D$19="2014 IPCC Fifth Assessment", (M41*Data!$AJ$5)+(N41*Data!$AJ$6)+(O41*Data!$AJ$7), (M41*Data!$AI$5)+(N41*Data!$AI$6)+(O41*Data!$AI$7)), "")</f>
        <v/>
      </c>
      <c r="Q41" s="403" t="str">
        <f>_xlfn.IFNA(IF(VLOOKUP(Table15[[#This Row],[Column7]], S3_Transport_EF[], 6, FALSE) = "Yes", _xlfn.IFNA(VLOOKUP(J41, S3_Transport_EF[], 'Emission Factors'!$D$420, FALSE)/IF(VLOOKUP(J41, S3_Transport_EF[], 9,FALSE) =Table15[[#This Row],[Column14]], 1, VLOOKUP(VLOOKUP(J41, S3_Transport_EF[], 9,FALSE)&amp;"_to_"&amp;Table15[[#This Row],[Column14]], Conversions!$B$52:$F$162, Conversions!$E$52, FALSE))*Table15[[#This Row],[Column13]]/1000, ""), 0), "")</f>
        <v/>
      </c>
      <c r="R41" s="404" t="str">
        <f>IF(Table15[[#This Row],[Column4]]="Custom emission factor", _xlfn.IFNA(VLOOKUP(Table15[[#This Row],[Column6]], Custom_EF[], 9, FALSE), ""), _xlfn.IFNA(VLOOKUP(Table15[[#This Row],[Column7]], S3_Transport_EF[], IF(Parameters!$D$19="2014 IPCC Fifth Assessment", 'Emission Factors'!$I$420, 'Emission Factors'!$H$420), FALSE), ""))</f>
        <v/>
      </c>
      <c r="S41" s="381" t="str">
        <f>_xlfn.IFNA(IF(Table15[[#This Row],[Column4]]&lt;&gt;"Custom emission factor", VLOOKUP(Table15[[#This Row],[Column7]], S3_Transport_EF[], 'Emission Factors'!$K$420, FALSE), VLOOKUP(Table15[[#This Row],[Column6]], Custom_EF[], 4, FALSE)), "")</f>
        <v/>
      </c>
    </row>
    <row r="42" spans="3:19" ht="15.75">
      <c r="C42" s="768"/>
      <c r="D42" s="766"/>
      <c r="E42" s="397"/>
      <c r="F42" s="397"/>
      <c r="G42" s="767"/>
      <c r="H42" s="414" t="str">
        <f>IF(AND(OR(Table15[[#This Row],[Column3]]="Employee Commute", Table15[[#This Row],[Column3]]="Business Travel"), Table15[[#This Row],[Column4]]="UK DEFRA", Table15[[#This Row],[Column5]]="Air", Parameters!$D$22="Yes"), "Yes", "")</f>
        <v/>
      </c>
      <c r="I42" s="409"/>
      <c r="J42" s="397"/>
      <c r="K42" s="402"/>
      <c r="L42" s="395"/>
      <c r="M42" s="447"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FALSE)/IF(VLOOKUP(J42, S3_Transport_EF[], 9,FALSE) =Table15[[#This Row],[Column14]], 1, VLOOKUP(VLOOKUP(J42, S3_Transport_EF[], 9,FALSE)&amp;"_to_"&amp;Table15[[#This Row],[Column14]], Conversions!$B$52:$F$162, Conversions!$E$52, FALSE))*Table15[[#This Row],[Column13]]/1000, "")), "")), "")</f>
        <v/>
      </c>
      <c r="N42" s="411"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42" s="411"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42" s="410" t="str">
        <f>IFERROR(IF(Parameters!$D$19="2014 IPCC Fifth Assessment", (M42*Data!$AJ$5)+(N42*Data!$AJ$6)+(O42*Data!$AJ$7), (M42*Data!$AI$5)+(N42*Data!$AI$6)+(O42*Data!$AI$7)), "")</f>
        <v/>
      </c>
      <c r="Q42" s="403" t="str">
        <f>_xlfn.IFNA(IF(VLOOKUP(Table15[[#This Row],[Column7]], S3_Transport_EF[], 6, FALSE) = "Yes", _xlfn.IFNA(VLOOKUP(J42, S3_Transport_EF[], 'Emission Factors'!$D$420, FALSE)/IF(VLOOKUP(J42, S3_Transport_EF[], 9,FALSE) =Table15[[#This Row],[Column14]], 1, VLOOKUP(VLOOKUP(J42, S3_Transport_EF[], 9,FALSE)&amp;"_to_"&amp;Table15[[#This Row],[Column14]], Conversions!$B$52:$F$162, Conversions!$E$52, FALSE))*Table15[[#This Row],[Column13]]/1000, ""), 0), "")</f>
        <v/>
      </c>
      <c r="R42" s="404" t="str">
        <f>IF(Table15[[#This Row],[Column4]]="Custom emission factor", _xlfn.IFNA(VLOOKUP(Table15[[#This Row],[Column6]], Custom_EF[], 9, FALSE), ""), _xlfn.IFNA(VLOOKUP(Table15[[#This Row],[Column7]], S3_Transport_EF[], IF(Parameters!$D$19="2014 IPCC Fifth Assessment", 'Emission Factors'!$I$420, 'Emission Factors'!$H$420), FALSE), ""))</f>
        <v/>
      </c>
      <c r="S42" s="381" t="str">
        <f>_xlfn.IFNA(IF(Table15[[#This Row],[Column4]]&lt;&gt;"Custom emission factor", VLOOKUP(Table15[[#This Row],[Column7]], S3_Transport_EF[], 'Emission Factors'!$K$420, FALSE), VLOOKUP(Table15[[#This Row],[Column6]], Custom_EF[], 4, FALSE)), "")</f>
        <v/>
      </c>
    </row>
    <row r="43" spans="3:19" ht="15.75">
      <c r="C43" s="768"/>
      <c r="D43" s="766"/>
      <c r="E43" s="397"/>
      <c r="F43" s="397"/>
      <c r="G43" s="767"/>
      <c r="H43" s="414" t="str">
        <f>IF(AND(OR(Table15[[#This Row],[Column3]]="Employee Commute", Table15[[#This Row],[Column3]]="Business Travel"), Table15[[#This Row],[Column4]]="UK DEFRA", Table15[[#This Row],[Column5]]="Air", Parameters!$D$22="Yes"), "Yes", "")</f>
        <v/>
      </c>
      <c r="I43" s="409"/>
      <c r="J43" s="397"/>
      <c r="K43" s="402"/>
      <c r="L43" s="395"/>
      <c r="M43" s="447"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FALSE)/IF(VLOOKUP(J43, S3_Transport_EF[], 9,FALSE) =Table15[[#This Row],[Column14]], 1, VLOOKUP(VLOOKUP(J43, S3_Transport_EF[], 9,FALSE)&amp;"_to_"&amp;Table15[[#This Row],[Column14]], Conversions!$B$52:$F$162, Conversions!$E$52, FALSE))*Table15[[#This Row],[Column13]]/1000, "")), "")), "")</f>
        <v/>
      </c>
      <c r="N43" s="411"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43" s="411"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43" s="410" t="str">
        <f>IFERROR(IF(Parameters!$D$19="2014 IPCC Fifth Assessment", (M43*Data!$AJ$5)+(N43*Data!$AJ$6)+(O43*Data!$AJ$7), (M43*Data!$AI$5)+(N43*Data!$AI$6)+(O43*Data!$AI$7)), "")</f>
        <v/>
      </c>
      <c r="Q43" s="403" t="str">
        <f>_xlfn.IFNA(IF(VLOOKUP(Table15[[#This Row],[Column7]], S3_Transport_EF[], 6, FALSE) = "Yes", _xlfn.IFNA(VLOOKUP(J43, S3_Transport_EF[], 'Emission Factors'!$D$420, FALSE)/IF(VLOOKUP(J43, S3_Transport_EF[], 9,FALSE) =Table15[[#This Row],[Column14]], 1, VLOOKUP(VLOOKUP(J43, S3_Transport_EF[], 9,FALSE)&amp;"_to_"&amp;Table15[[#This Row],[Column14]], Conversions!$B$52:$F$162, Conversions!$E$52, FALSE))*Table15[[#This Row],[Column13]]/1000, ""), 0), "")</f>
        <v/>
      </c>
      <c r="R43" s="404" t="str">
        <f>IF(Table15[[#This Row],[Column4]]="Custom emission factor", _xlfn.IFNA(VLOOKUP(Table15[[#This Row],[Column6]], Custom_EF[], 9, FALSE), ""), _xlfn.IFNA(VLOOKUP(Table15[[#This Row],[Column7]], S3_Transport_EF[], IF(Parameters!$D$19="2014 IPCC Fifth Assessment", 'Emission Factors'!$I$420, 'Emission Factors'!$H$420), FALSE), ""))</f>
        <v/>
      </c>
      <c r="S43" s="381" t="str">
        <f>_xlfn.IFNA(IF(Table15[[#This Row],[Column4]]&lt;&gt;"Custom emission factor", VLOOKUP(Table15[[#This Row],[Column7]], S3_Transport_EF[], 'Emission Factors'!$K$420, FALSE), VLOOKUP(Table15[[#This Row],[Column6]], Custom_EF[], 4, FALSE)), "")</f>
        <v/>
      </c>
    </row>
    <row r="44" spans="3:19" ht="15.75">
      <c r="C44" s="768"/>
      <c r="D44" s="766"/>
      <c r="E44" s="397"/>
      <c r="F44" s="397"/>
      <c r="G44" s="767"/>
      <c r="H44" s="414" t="str">
        <f>IF(AND(OR(Table15[[#This Row],[Column3]]="Employee Commute", Table15[[#This Row],[Column3]]="Business Travel"), Table15[[#This Row],[Column4]]="UK DEFRA", Table15[[#This Row],[Column5]]="Air", Parameters!$D$22="Yes"), "Yes", "")</f>
        <v/>
      </c>
      <c r="I44" s="409"/>
      <c r="J44" s="397"/>
      <c r="K44" s="402"/>
      <c r="L44" s="395"/>
      <c r="M44" s="447"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FALSE)/IF(VLOOKUP(J44, S3_Transport_EF[], 9,FALSE) =Table15[[#This Row],[Column14]], 1, VLOOKUP(VLOOKUP(J44, S3_Transport_EF[], 9,FALSE)&amp;"_to_"&amp;Table15[[#This Row],[Column14]], Conversions!$B$52:$F$162, Conversions!$E$52, FALSE))*Table15[[#This Row],[Column13]]/1000, "")), "")), "")</f>
        <v/>
      </c>
      <c r="N44" s="411"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44" s="411"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44" s="410" t="str">
        <f>IFERROR(IF(Parameters!$D$19="2014 IPCC Fifth Assessment", (M44*Data!$AJ$5)+(N44*Data!$AJ$6)+(O44*Data!$AJ$7), (M44*Data!$AI$5)+(N44*Data!$AI$6)+(O44*Data!$AI$7)), "")</f>
        <v/>
      </c>
      <c r="Q44" s="403" t="str">
        <f>_xlfn.IFNA(IF(VLOOKUP(Table15[[#This Row],[Column7]], S3_Transport_EF[], 6, FALSE) = "Yes", _xlfn.IFNA(VLOOKUP(J44, S3_Transport_EF[], 'Emission Factors'!$D$420, FALSE)/IF(VLOOKUP(J44, S3_Transport_EF[], 9,FALSE) =Table15[[#This Row],[Column14]], 1, VLOOKUP(VLOOKUP(J44, S3_Transport_EF[], 9,FALSE)&amp;"_to_"&amp;Table15[[#This Row],[Column14]], Conversions!$B$52:$F$162, Conversions!$E$52, FALSE))*Table15[[#This Row],[Column13]]/1000, ""), 0), "")</f>
        <v/>
      </c>
      <c r="R44" s="404" t="str">
        <f>IF(Table15[[#This Row],[Column4]]="Custom emission factor", _xlfn.IFNA(VLOOKUP(Table15[[#This Row],[Column6]], Custom_EF[], 9, FALSE), ""), _xlfn.IFNA(VLOOKUP(Table15[[#This Row],[Column7]], S3_Transport_EF[], IF(Parameters!$D$19="2014 IPCC Fifth Assessment", 'Emission Factors'!$I$420, 'Emission Factors'!$H$420), FALSE), ""))</f>
        <v/>
      </c>
      <c r="S44" s="381" t="str">
        <f>_xlfn.IFNA(IF(Table15[[#This Row],[Column4]]&lt;&gt;"Custom emission factor", VLOOKUP(Table15[[#This Row],[Column7]], S3_Transport_EF[], 'Emission Factors'!$K$420, FALSE), VLOOKUP(Table15[[#This Row],[Column6]], Custom_EF[], 4, FALSE)), "")</f>
        <v/>
      </c>
    </row>
    <row r="45" spans="3:19" ht="15.75">
      <c r="C45" s="768"/>
      <c r="D45" s="766"/>
      <c r="E45" s="397"/>
      <c r="F45" s="397"/>
      <c r="G45" s="767"/>
      <c r="H45" s="414" t="str">
        <f>IF(AND(OR(Table15[[#This Row],[Column3]]="Employee Commute", Table15[[#This Row],[Column3]]="Business Travel"), Table15[[#This Row],[Column4]]="UK DEFRA", Table15[[#This Row],[Column5]]="Air", Parameters!$D$22="Yes"), "Yes", "")</f>
        <v/>
      </c>
      <c r="I45" s="409"/>
      <c r="J45" s="397"/>
      <c r="K45" s="402"/>
      <c r="L45" s="395"/>
      <c r="M45" s="447"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FALSE)/IF(VLOOKUP(J45, S3_Transport_EF[], 9,FALSE) =Table15[[#This Row],[Column14]], 1, VLOOKUP(VLOOKUP(J45, S3_Transport_EF[], 9,FALSE)&amp;"_to_"&amp;Table15[[#This Row],[Column14]], Conversions!$B$52:$F$162, Conversions!$E$52, FALSE))*Table15[[#This Row],[Column13]]/1000, "")), "")), "")</f>
        <v/>
      </c>
      <c r="N45" s="411"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45" s="411"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45" s="410" t="str">
        <f>IFERROR(IF(Parameters!$D$19="2014 IPCC Fifth Assessment", (M45*Data!$AJ$5)+(N45*Data!$AJ$6)+(O45*Data!$AJ$7), (M45*Data!$AI$5)+(N45*Data!$AI$6)+(O45*Data!$AI$7)), "")</f>
        <v/>
      </c>
      <c r="Q45" s="403" t="str">
        <f>_xlfn.IFNA(IF(VLOOKUP(Table15[[#This Row],[Column7]], S3_Transport_EF[], 6, FALSE) = "Yes", _xlfn.IFNA(VLOOKUP(J45, S3_Transport_EF[], 'Emission Factors'!$D$420, FALSE)/IF(VLOOKUP(J45, S3_Transport_EF[], 9,FALSE) =Table15[[#This Row],[Column14]], 1, VLOOKUP(VLOOKUP(J45, S3_Transport_EF[], 9,FALSE)&amp;"_to_"&amp;Table15[[#This Row],[Column14]], Conversions!$B$52:$F$162, Conversions!$E$52, FALSE))*Table15[[#This Row],[Column13]]/1000, ""), 0), "")</f>
        <v/>
      </c>
      <c r="R45" s="404" t="str">
        <f>IF(Table15[[#This Row],[Column4]]="Custom emission factor", _xlfn.IFNA(VLOOKUP(Table15[[#This Row],[Column6]], Custom_EF[], 9, FALSE), ""), _xlfn.IFNA(VLOOKUP(Table15[[#This Row],[Column7]], S3_Transport_EF[], IF(Parameters!$D$19="2014 IPCC Fifth Assessment", 'Emission Factors'!$I$420, 'Emission Factors'!$H$420), FALSE), ""))</f>
        <v/>
      </c>
      <c r="S45" s="381" t="str">
        <f>_xlfn.IFNA(IF(Table15[[#This Row],[Column4]]&lt;&gt;"Custom emission factor", VLOOKUP(Table15[[#This Row],[Column7]], S3_Transport_EF[], 'Emission Factors'!$K$420, FALSE), VLOOKUP(Table15[[#This Row],[Column6]], Custom_EF[], 4, FALSE)), "")</f>
        <v/>
      </c>
    </row>
    <row r="46" spans="3:19" ht="15.75">
      <c r="C46" s="768"/>
      <c r="D46" s="766"/>
      <c r="E46" s="397"/>
      <c r="F46" s="397"/>
      <c r="G46" s="767"/>
      <c r="H46" s="414" t="str">
        <f>IF(AND(OR(Table15[[#This Row],[Column3]]="Employee Commute", Table15[[#This Row],[Column3]]="Business Travel"), Table15[[#This Row],[Column4]]="UK DEFRA", Table15[[#This Row],[Column5]]="Air", Parameters!$D$22="Yes"), "Yes", "")</f>
        <v/>
      </c>
      <c r="I46" s="409"/>
      <c r="J46" s="397"/>
      <c r="K46" s="402"/>
      <c r="L46" s="395"/>
      <c r="M46" s="447"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FALSE)/IF(VLOOKUP(J46, S3_Transport_EF[], 9,FALSE) =Table15[[#This Row],[Column14]], 1, VLOOKUP(VLOOKUP(J46, S3_Transport_EF[], 9,FALSE)&amp;"_to_"&amp;Table15[[#This Row],[Column14]], Conversions!$B$52:$F$162, Conversions!$E$52, FALSE))*Table15[[#This Row],[Column13]]/1000, "")), "")), "")</f>
        <v/>
      </c>
      <c r="N46" s="411"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46" s="411"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46" s="410" t="str">
        <f>IFERROR(IF(Parameters!$D$19="2014 IPCC Fifth Assessment", (M46*Data!$AJ$5)+(N46*Data!$AJ$6)+(O46*Data!$AJ$7), (M46*Data!$AI$5)+(N46*Data!$AI$6)+(O46*Data!$AI$7)), "")</f>
        <v/>
      </c>
      <c r="Q46" s="403" t="str">
        <f>_xlfn.IFNA(IF(VLOOKUP(Table15[[#This Row],[Column7]], S3_Transport_EF[], 6, FALSE) = "Yes", _xlfn.IFNA(VLOOKUP(J46, S3_Transport_EF[], 'Emission Factors'!$D$420, FALSE)/IF(VLOOKUP(J46, S3_Transport_EF[], 9,FALSE) =Table15[[#This Row],[Column14]], 1, VLOOKUP(VLOOKUP(J46, S3_Transport_EF[], 9,FALSE)&amp;"_to_"&amp;Table15[[#This Row],[Column14]], Conversions!$B$52:$F$162, Conversions!$E$52, FALSE))*Table15[[#This Row],[Column13]]/1000, ""), 0), "")</f>
        <v/>
      </c>
      <c r="R46" s="404" t="str">
        <f>IF(Table15[[#This Row],[Column4]]="Custom emission factor", _xlfn.IFNA(VLOOKUP(Table15[[#This Row],[Column6]], Custom_EF[], 9, FALSE), ""), _xlfn.IFNA(VLOOKUP(Table15[[#This Row],[Column7]], S3_Transport_EF[], IF(Parameters!$D$19="2014 IPCC Fifth Assessment", 'Emission Factors'!$I$420, 'Emission Factors'!$H$420), FALSE), ""))</f>
        <v/>
      </c>
      <c r="S46" s="381" t="str">
        <f>_xlfn.IFNA(IF(Table15[[#This Row],[Column4]]&lt;&gt;"Custom emission factor", VLOOKUP(Table15[[#This Row],[Column7]], S3_Transport_EF[], 'Emission Factors'!$K$420, FALSE), VLOOKUP(Table15[[#This Row],[Column6]], Custom_EF[], 4, FALSE)), "")</f>
        <v/>
      </c>
    </row>
    <row r="47" spans="3:19" ht="15.75">
      <c r="C47" s="768"/>
      <c r="D47" s="766"/>
      <c r="E47" s="397"/>
      <c r="F47" s="397"/>
      <c r="G47" s="767"/>
      <c r="H47" s="414" t="str">
        <f>IF(AND(OR(Table15[[#This Row],[Column3]]="Employee Commute", Table15[[#This Row],[Column3]]="Business Travel"), Table15[[#This Row],[Column4]]="UK DEFRA", Table15[[#This Row],[Column5]]="Air", Parameters!$D$22="Yes"), "Yes", "")</f>
        <v/>
      </c>
      <c r="I47" s="409"/>
      <c r="J47" s="397"/>
      <c r="K47" s="402"/>
      <c r="L47" s="395"/>
      <c r="M47" s="447"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FALSE)/IF(VLOOKUP(J47, S3_Transport_EF[], 9,FALSE) =Table15[[#This Row],[Column14]], 1, VLOOKUP(VLOOKUP(J47, S3_Transport_EF[], 9,FALSE)&amp;"_to_"&amp;Table15[[#This Row],[Column14]], Conversions!$B$52:$F$162, Conversions!$E$52, FALSE))*Table15[[#This Row],[Column13]]/1000, "")), "")), "")</f>
        <v/>
      </c>
      <c r="N47" s="411"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47" s="411"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47" s="410" t="str">
        <f>IFERROR(IF(Parameters!$D$19="2014 IPCC Fifth Assessment", (M47*Data!$AJ$5)+(N47*Data!$AJ$6)+(O47*Data!$AJ$7), (M47*Data!$AI$5)+(N47*Data!$AI$6)+(O47*Data!$AI$7)), "")</f>
        <v/>
      </c>
      <c r="Q47" s="403" t="str">
        <f>_xlfn.IFNA(IF(VLOOKUP(Table15[[#This Row],[Column7]], S3_Transport_EF[], 6, FALSE) = "Yes", _xlfn.IFNA(VLOOKUP(J47, S3_Transport_EF[], 'Emission Factors'!$D$420, FALSE)/IF(VLOOKUP(J47, S3_Transport_EF[], 9,FALSE) =Table15[[#This Row],[Column14]], 1, VLOOKUP(VLOOKUP(J47, S3_Transport_EF[], 9,FALSE)&amp;"_to_"&amp;Table15[[#This Row],[Column14]], Conversions!$B$52:$F$162, Conversions!$E$52, FALSE))*Table15[[#This Row],[Column13]]/1000, ""), 0), "")</f>
        <v/>
      </c>
      <c r="R47" s="404" t="str">
        <f>IF(Table15[[#This Row],[Column4]]="Custom emission factor", _xlfn.IFNA(VLOOKUP(Table15[[#This Row],[Column6]], Custom_EF[], 9, FALSE), ""), _xlfn.IFNA(VLOOKUP(Table15[[#This Row],[Column7]], S3_Transport_EF[], IF(Parameters!$D$19="2014 IPCC Fifth Assessment", 'Emission Factors'!$I$420, 'Emission Factors'!$H$420), FALSE), ""))</f>
        <v/>
      </c>
      <c r="S47" s="381" t="str">
        <f>_xlfn.IFNA(IF(Table15[[#This Row],[Column4]]&lt;&gt;"Custom emission factor", VLOOKUP(Table15[[#This Row],[Column7]], S3_Transport_EF[], 'Emission Factors'!$K$420, FALSE), VLOOKUP(Table15[[#This Row],[Column6]], Custom_EF[], 4, FALSE)), "")</f>
        <v/>
      </c>
    </row>
    <row r="48" spans="3:19" ht="15.75">
      <c r="C48" s="765"/>
      <c r="D48" s="766"/>
      <c r="E48" s="397"/>
      <c r="F48" s="397"/>
      <c r="G48" s="767"/>
      <c r="H48" s="414" t="str">
        <f>IF(AND(OR(Table15[[#This Row],[Column3]]="Employee Commute", Table15[[#This Row],[Column3]]="Business Travel"), Table15[[#This Row],[Column4]]="UK DEFRA", Table15[[#This Row],[Column5]]="Air", Parameters!$D$22="Yes"), "Yes", "")</f>
        <v/>
      </c>
      <c r="I48" s="409"/>
      <c r="J48" s="395"/>
      <c r="K48" s="402"/>
      <c r="L48" s="395"/>
      <c r="M48" s="446"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FALSE)/IF(VLOOKUP(J48, S3_Transport_EF[], 9,FALSE) =Table15[[#This Row],[Column14]], 1, VLOOKUP(VLOOKUP(J48, S3_Transport_EF[], 9,FALSE)&amp;"_to_"&amp;Table15[[#This Row],[Column14]], Conversions!$B$52:$F$162, Conversions!$E$52, FALSE))*Table15[[#This Row],[Column13]]/1000, "")), "")), "")</f>
        <v/>
      </c>
      <c r="N48" s="410"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48" s="410"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48" s="410" t="str">
        <f>IFERROR(IF(Parameters!$D$19="2014 IPCC Fifth Assessment", (M48*Data!$AJ$5)+(N48*Data!$AJ$6)+(O48*Data!$AJ$7), (M48*Data!$AI$5)+(N48*Data!$AI$6)+(O48*Data!$AI$7)), "")</f>
        <v/>
      </c>
      <c r="Q48" s="403" t="str">
        <f>_xlfn.IFNA(IF(VLOOKUP(Table15[[#This Row],[Column7]], S3_Transport_EF[], 6, FALSE) = "Yes", _xlfn.IFNA(VLOOKUP(J48, S3_Transport_EF[], 'Emission Factors'!$D$420, FALSE)/IF(VLOOKUP(J48, S3_Transport_EF[], 9,FALSE) =Table15[[#This Row],[Column14]], 1, VLOOKUP(VLOOKUP(J48, S3_Transport_EF[], 9,FALSE)&amp;"_to_"&amp;Table15[[#This Row],[Column14]], Conversions!$B$52:$F$162, Conversions!$E$52, FALSE))*Table15[[#This Row],[Column13]]/1000, ""), 0), "")</f>
        <v/>
      </c>
      <c r="R48" s="404" t="str">
        <f>IF(Table15[[#This Row],[Column4]]="Custom emission factor", _xlfn.IFNA(VLOOKUP(Table15[[#This Row],[Column6]], Custom_EF[], 9, FALSE), ""), _xlfn.IFNA(VLOOKUP(Table15[[#This Row],[Column7]], S3_Transport_EF[], IF(Parameters!$D$19="2014 IPCC Fifth Assessment", 'Emission Factors'!$I$420, 'Emission Factors'!$H$420), FALSE), ""))</f>
        <v/>
      </c>
      <c r="S48" s="381" t="str">
        <f>_xlfn.IFNA(IF(Table15[[#This Row],[Column4]]&lt;&gt;"Custom emission factor", VLOOKUP(Table15[[#This Row],[Column7]], S3_Transport_EF[], 'Emission Factors'!$K$420, FALSE), VLOOKUP(Table15[[#This Row],[Column6]], Custom_EF[], 4, FALSE)), "")</f>
        <v/>
      </c>
    </row>
    <row r="49" spans="3:19" ht="15.75">
      <c r="C49" s="769"/>
      <c r="D49" s="770"/>
      <c r="E49" s="400"/>
      <c r="F49" s="400"/>
      <c r="G49" s="771"/>
      <c r="H49" s="415" t="str">
        <f>IF(AND(OR(Table15[[#This Row],[Column3]]="Employee Commute", Table15[[#This Row],[Column3]]="Business Travel"), Table15[[#This Row],[Column4]]="UK DEFRA", Table15[[#This Row],[Column5]]="Air", Parameters!$D$22="Yes"), "Yes", "")</f>
        <v/>
      </c>
      <c r="I49" s="409"/>
      <c r="J49" s="395"/>
      <c r="K49" s="405"/>
      <c r="L49" s="395"/>
      <c r="M49" s="448" t="str">
        <f>_xlfn.IFNA(IF(Table15[[#This Row],[Column4]]="Custom emission factor", VLOOKUP(Table15[[#This Row],[Column6]], Custom_EF[], 5,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_xlfn.IFNA(IF(VLOOKUP(Table15[[#This Row],[Column7]], S3_Transport_EF[], 6, FALSE) = "Yes", 0, _xlfn.IFNA(VLOOKUP(Table15[[#This Row],[Column7]], S3_Transport_EF[], 'Emission Factors'!$D$420, FALSE)/IF(VLOOKUP(J49, S3_Transport_EF[], 9,FALSE) =Table15[[#This Row],[Column14]], 1, VLOOKUP(VLOOKUP(J49, S3_Transport_EF[], 9,FALSE)&amp;"_to_"&amp;Table15[[#This Row],[Column14]], Conversions!$B$52:$F$162, Conversions!$E$52, FALSE))*Table15[[#This Row],[Column13]]/1000, "")), "")), "")</f>
        <v/>
      </c>
      <c r="N49" s="412" t="str">
        <f>_xlfn.IFNA(IF(Table15[[#This Row],[Column4]]="Custom emission factor", VLOOKUP(Table15[[#This Row],[Column6]], Custom_EF[], 6,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Factors'!$E$420, FALSE)/IF(VLOOKUP(Table15[[#This Row],[Column7]], S3_Transport_EF[], 9,FALSE) =Table15[[#This Row],[Column14]], 1, VLOOKUP(VLOOKUP(Table15[[#This Row],[Column7]], S3_Transport_EF[], 9,FALSE)&amp;"_to_"&amp;Table15[[#This Row],[Column14]], Conversions!$B$52:$F$162, Conversions!$E$52, FALSE))*Table15[[#This Row],[Column13]]/1000000), "")</f>
        <v/>
      </c>
      <c r="O49" s="412" t="str">
        <f>_xlfn.IFNA(IF(Table15[[#This Row],[Column4]]="Custom emission factor", VLOOKUP(Table15[[#This Row],[Column6]], Custom_EF[], 7, FALSE)*IF(VLOOKUP(Table15[[#This Row],[Column6]], Custom_EF[], 10, FALSE)="kg", 1, IF(VLOOKUP(Table15[[#This Row],[Column6]], Custom_EF[], 10, FALSE)="g", 0.001, IF(VLOOKUP(Table15[[#This Row],[Column6]], Custom_EF[], 10, FALSE)="tonne", 1000)))/IF(VLOOKUP(Table15[[#This Row],[Column6]], Custom_EF[], 11,FALSE) =Table15[[#This Row],[Column14]], 1, VLOOKUP(VLOOKUP(Table15[[#This Row],[Column6]], Custom_EF[], 11,FALSE)&amp;"_to_"&amp;Table15[[#This Row],[Column14]], Conversions!$B$52:$F$162, Conversions!$E$52, FALSE))*Table15[[#This Row],[Column13]]/1000, VLOOKUP(Table15[[#This Row],[Column7]], S3_Transport_EF[], 'Emission Factors'!$F$420, FALSE)/IF(VLOOKUP(Table15[[#This Row],[Column7]], S3_Transport_EF[], 9,FALSE) =Table15[[#This Row],[Column14]], 1, VLOOKUP(VLOOKUP(Table15[[#This Row],[Column7]], S3_Transport_EF[], 9,FALSE)&amp;"_to_"&amp;Table15[[#This Row],[Column14]], Conversions!$B$52:$F$162, Conversions!$E$52, FALSE))*Table15[[#This Row],[Column13]]/1000000), "")</f>
        <v/>
      </c>
      <c r="P49" s="412" t="str">
        <f>IFERROR(IF(Parameters!$D$19="2014 IPCC Fifth Assessment", (M49*Data!$AJ$5)+(N49*Data!$AJ$6)+(O49*Data!$AJ$7), (M49*Data!$AI$5)+(N49*Data!$AI$6)+(O49*Data!$AI$7)), "")</f>
        <v/>
      </c>
      <c r="Q49" s="406" t="str">
        <f>_xlfn.IFNA(IF(VLOOKUP(Table15[[#This Row],[Column7]], S3_Transport_EF[], 6, FALSE) = "Yes", _xlfn.IFNA(VLOOKUP(J49, S3_Transport_EF[], 'Emission Factors'!$D$420, FALSE)/IF(VLOOKUP(J49, S3_Transport_EF[], 9,FALSE) =Table15[[#This Row],[Column14]], 1, VLOOKUP(VLOOKUP(J49, S3_Transport_EF[], 9,FALSE)&amp;"_to_"&amp;Table15[[#This Row],[Column14]], Conversions!$B$52:$F$162, Conversions!$E$52, FALSE))*Table15[[#This Row],[Column13]]/1000, ""), 0), "")</f>
        <v/>
      </c>
      <c r="R49" s="407" t="str">
        <f>IF(Table15[[#This Row],[Column4]]="Custom emission factor", _xlfn.IFNA(VLOOKUP(Table15[[#This Row],[Column6]], Custom_EF[], 9, FALSE), ""), _xlfn.IFNA(VLOOKUP(Table15[[#This Row],[Column7]], S3_Transport_EF[], IF(Parameters!$D$19="2014 IPCC Fifth Assessment", 'Emission Factors'!$I$420, 'Emission Factors'!$H$420), FALSE), ""))</f>
        <v/>
      </c>
      <c r="S49" s="382" t="str">
        <f>_xlfn.IFNA(IF(Table15[[#This Row],[Column4]]&lt;&gt;"Custom emission factor", VLOOKUP(Table15[[#This Row],[Column7]], S3_Transport_EF[], 'Emission Factors'!$K$420, FALSE), VLOOKUP(Table15[[#This Row],[Column6]], Custom_EF[], 4, FALSE)), "")</f>
        <v/>
      </c>
    </row>
    <row r="50" spans="3:19" ht="18.75">
      <c r="L50" s="926" t="s">
        <v>1398</v>
      </c>
      <c r="M50" s="927"/>
      <c r="N50" s="927"/>
      <c r="O50" s="928"/>
      <c r="P50" s="639">
        <f>SUMIFS(Table15[[#All],[Column18]], Table15[[#All],[Column3]], Dropdowns!Q2)</f>
        <v>0</v>
      </c>
    </row>
    <row r="51" spans="3:19" ht="18.75">
      <c r="L51" s="926" t="s">
        <v>1399</v>
      </c>
      <c r="M51" s="927"/>
      <c r="N51" s="927"/>
      <c r="O51" s="928"/>
      <c r="P51" s="684">
        <f>SUMIFS(Table15[[#All],[Column18]], Table15[[#All],[Column3]], Dropdowns!Q3)</f>
        <v>0</v>
      </c>
    </row>
    <row r="52" spans="3:19" ht="18.75">
      <c r="C52" s="216"/>
      <c r="L52" s="926" t="s">
        <v>1400</v>
      </c>
      <c r="M52" s="927"/>
      <c r="N52" s="927"/>
      <c r="O52" s="928"/>
      <c r="P52" s="684">
        <f>SUMIFS(Table15[[#All],[Column18]], Table15[[#All],[Column3]], Dropdowns!Q4)</f>
        <v>0</v>
      </c>
    </row>
    <row r="53" spans="3:19" ht="18.75">
      <c r="C53" s="216"/>
      <c r="L53" s="929" t="s">
        <v>1239</v>
      </c>
      <c r="M53" s="930"/>
      <c r="N53" s="930"/>
      <c r="O53" s="931"/>
      <c r="P53" s="684">
        <f>SUM(Table15[[#All],[Column19]])</f>
        <v>0</v>
      </c>
    </row>
    <row r="54" spans="3:19">
      <c r="C54" s="216"/>
    </row>
    <row r="55" spans="3:19">
      <c r="C55" s="303"/>
    </row>
    <row r="56" spans="3:19">
      <c r="C56" s="243"/>
    </row>
  </sheetData>
  <dataConsolidate/>
  <mergeCells count="16">
    <mergeCell ref="L52:O52"/>
    <mergeCell ref="L53:O53"/>
    <mergeCell ref="L50:O50"/>
    <mergeCell ref="L51:O51"/>
    <mergeCell ref="M24:Q24"/>
    <mergeCell ref="K24:L24"/>
    <mergeCell ref="C11:J12"/>
    <mergeCell ref="C14:G14"/>
    <mergeCell ref="R24:S24"/>
    <mergeCell ref="I24:I25"/>
    <mergeCell ref="J24:J25"/>
    <mergeCell ref="C24:C25"/>
    <mergeCell ref="G24:G25"/>
    <mergeCell ref="D24:D25"/>
    <mergeCell ref="E24:E25"/>
    <mergeCell ref="F24:F25"/>
  </mergeCells>
  <phoneticPr fontId="35" type="noConversion"/>
  <conditionalFormatting sqref="J26:J49">
    <cfRule type="expression" dxfId="21" priority="4">
      <formula>IF($F26="Custom emission factor", TRUE)</formula>
    </cfRule>
  </conditionalFormatting>
  <conditionalFormatting sqref="M26:M49">
    <cfRule type="cellIs" dxfId="20" priority="3" operator="equal">
      <formula>0</formula>
    </cfRule>
  </conditionalFormatting>
  <conditionalFormatting sqref="Q26:Q49">
    <cfRule type="expression" dxfId="19" priority="1">
      <formula>IF(AND($M26&lt;&gt;"",$Q26=""), TRUE)</formula>
    </cfRule>
    <cfRule type="cellIs" dxfId="18" priority="2" operator="equal">
      <formula>0</formula>
    </cfRule>
  </conditionalFormatting>
  <dataValidations count="1">
    <dataValidation type="list" allowBlank="1" showInputMessage="1" showErrorMessage="1" sqref="J26:J49" xr:uid="{B44DD089-15BE-4700-BA11-015C961536C9}">
      <formula1>IF($H26="Yes", INDIRECT(VLOOKUP(E26, Scope3_Dropdown, 2, FALSE)&amp;"_"&amp;SUBSTITUTE(F26, " ", "_")&amp;"_"&amp;G26&amp;"_RF"), INDIRECT(VLOOKUP(E26, Scope3_Dropdown, 2, FALSE)&amp;"_"&amp;SUBSTITUTE(F26, " ", "_")&amp;"_"&amp;G26))</formula1>
    </dataValidation>
  </dataValidations>
  <pageMargins left="0.7" right="0.7" top="0.75" bottom="0.75" header="0.3" footer="0.3"/>
  <drawing r:id="rId1"/>
  <tableParts count="1">
    <tablePart r:id="rId2"/>
  </tableParts>
  <extLst>
    <ext xmlns:x14="http://schemas.microsoft.com/office/spreadsheetml/2009/9/main" uri="{CCE6A557-97BC-4b89-ADB6-D9C93CAAB3DF}">
      <x14:dataValidations xmlns:xm="http://schemas.microsoft.com/office/excel/2006/main" count="6">
        <x14:dataValidation type="list" allowBlank="1" showInputMessage="1" showErrorMessage="1" xr:uid="{462FF728-7557-4632-96FB-CE85AA5770AF}">
          <x14:formula1>
            <xm:f>Dropdowns!$L$2:$L$6</xm:f>
          </x14:formula1>
          <xm:sqref>G26:G49</xm:sqref>
        </x14:dataValidation>
        <x14:dataValidation type="list" allowBlank="1" showInputMessage="1" showErrorMessage="1" xr:uid="{FFB1FD49-22AA-48E3-8C03-43FA20E57811}">
          <x14:formula1>
            <xm:f>Dropdowns!$D$2:$D$4</xm:f>
          </x14:formula1>
          <xm:sqref>F26:F49</xm:sqref>
        </x14:dataValidation>
        <x14:dataValidation type="list" allowBlank="1" showInputMessage="1" showErrorMessage="1" xr:uid="{15042B10-0A02-447E-9A72-D34988A215A7}">
          <x14:formula1>
            <xm:f>Dropdowns!$Q$2:$Q$4</xm:f>
          </x14:formula1>
          <xm:sqref>E26:E49</xm:sqref>
        </x14:dataValidation>
        <x14:dataValidation type="list" allowBlank="1" showInputMessage="1" showErrorMessage="1" xr:uid="{BA65EF16-B8CB-4D94-B17A-7CDBE512EFA2}">
          <x14:formula1>
            <xm:f>Parameters!$C$31:$C$36</xm:f>
          </x14:formula1>
          <xm:sqref>C26:C49</xm:sqref>
        </x14:dataValidation>
        <x14:dataValidation type="list" allowBlank="1" showInputMessage="1" showErrorMessage="1" xr:uid="{27E7E82A-9CBB-4B54-A658-1010D5954686}">
          <x14:formula1>
            <xm:f>IF($F26="Custom emission factor", S3_Custom_EF, Dropdowns!$K$2:$K$5)</xm:f>
          </x14:formula1>
          <xm:sqref>I26:I49</xm:sqref>
        </x14:dataValidation>
        <x14:dataValidation type="list" allowBlank="1" showInputMessage="1" showErrorMessage="1" xr:uid="{4D22BBD6-428E-44E6-B76B-01A119053714}">
          <x14:formula1>
            <xm:f>IF($I26="Vehicle Distance", Dropdowns!$W$7:$W$8, IF($I26="Weight Distance", Dropdowns!$W$9:$W$10, IF($I26="Passenger Distance", Dropdowns!$W$5:$W$6, IF($I26="Distance", Dropdowns!$W$2:$W$4, Dropdowns!$W$2:$W$4))))</xm:f>
          </x14:formula1>
          <xm:sqref>L26:L49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BA748-5704-4BA7-BA37-C767876D2DD8}">
  <sheetPr codeName="Sheet3">
    <pageSetUpPr autoPageBreaks="0"/>
  </sheetPr>
  <dimension ref="A1:AH216"/>
  <sheetViews>
    <sheetView showGridLines="0" showRowColHeaders="0" topLeftCell="B55" zoomScale="145" zoomScaleNormal="145" workbookViewId="0">
      <selection activeCell="F65" sqref="F65"/>
    </sheetView>
  </sheetViews>
  <sheetFormatPr baseColWidth="10" defaultColWidth="9.140625" defaultRowHeight="15"/>
  <cols>
    <col min="1" max="1" width="8.7109375" style="215"/>
    <col min="2" max="2" width="15.7109375" customWidth="1"/>
    <col min="3" max="3" width="28.85546875" customWidth="1"/>
    <col min="4" max="4" width="23.85546875" customWidth="1"/>
    <col min="5" max="5" width="58.7109375" customWidth="1"/>
    <col min="6" max="11" width="15.7109375" customWidth="1"/>
    <col min="13" max="13" width="25.7109375" customWidth="1"/>
    <col min="14" max="14" width="20.7109375" customWidth="1"/>
    <col min="15" max="18" width="10.7109375" customWidth="1"/>
    <col min="22" max="22" width="8.7109375" style="215"/>
    <col min="24" max="24" width="21.140625" hidden="1" customWidth="1"/>
    <col min="25" max="25" width="18.28515625" hidden="1" customWidth="1"/>
    <col min="26" max="34" width="9.140625" hidden="1" customWidth="1"/>
    <col min="35" max="35" width="9.140625" customWidth="1"/>
  </cols>
  <sheetData>
    <row r="1" spans="1:22" s="363" customFormat="1"/>
    <row r="2" spans="1:22" s="363" customFormat="1"/>
    <row r="3" spans="1:22" s="363" customFormat="1"/>
    <row r="4" spans="1:22" s="363" customFormat="1"/>
    <row r="5" spans="1:22" s="363" customFormat="1"/>
    <row r="6" spans="1:22" s="363" customFormat="1"/>
    <row r="7" spans="1:22" s="363" customFormat="1"/>
    <row r="8" spans="1:22">
      <c r="A8"/>
      <c r="V8"/>
    </row>
    <row r="9" spans="1:22" s="338" customFormat="1" ht="45.4" customHeight="1">
      <c r="C9" s="1002" t="s">
        <v>1401</v>
      </c>
      <c r="D9" s="1002"/>
      <c r="E9" s="1002"/>
      <c r="F9" s="1002"/>
      <c r="G9" s="1002"/>
      <c r="H9" s="1002"/>
      <c r="I9" s="1002"/>
      <c r="J9" s="1002"/>
    </row>
    <row r="10" spans="1:22">
      <c r="A10" s="311"/>
      <c r="V10" s="311"/>
    </row>
    <row r="11" spans="1:22" ht="21">
      <c r="A11" s="311"/>
      <c r="C11" s="417" t="str">
        <f>Parameters!C16</f>
        <v>Name of Business</v>
      </c>
      <c r="D11" s="494" t="str">
        <f>IF(Parameters!D16=0, "", Parameters!D16)</f>
        <v/>
      </c>
      <c r="E11" s="242"/>
      <c r="F11" s="242"/>
      <c r="G11" s="242"/>
      <c r="H11" s="242"/>
      <c r="I11" s="242"/>
      <c r="J11" s="242"/>
      <c r="K11" s="242"/>
      <c r="V11" s="311"/>
    </row>
    <row r="12" spans="1:22" ht="21">
      <c r="A12" s="311"/>
      <c r="C12" s="417" t="str">
        <f>Parameters!C17</f>
        <v>Prepared By</v>
      </c>
      <c r="D12" s="494" t="str">
        <f>IF(Parameters!D17=0, "", Parameters!D17)</f>
        <v/>
      </c>
      <c r="E12" s="242"/>
      <c r="F12" s="242"/>
      <c r="G12" s="242"/>
      <c r="H12" s="242"/>
      <c r="I12" s="242"/>
      <c r="J12" s="242"/>
      <c r="K12" s="242"/>
      <c r="V12" s="311"/>
    </row>
    <row r="13" spans="1:22" ht="21">
      <c r="A13" s="311"/>
      <c r="C13" s="242"/>
      <c r="D13" s="242"/>
      <c r="E13" s="242"/>
      <c r="F13" s="242"/>
      <c r="G13" s="242"/>
      <c r="H13" s="242"/>
      <c r="I13" s="242"/>
      <c r="J13" s="242"/>
      <c r="K13" s="752"/>
      <c r="V13" s="311"/>
    </row>
    <row r="14" spans="1:22" ht="21">
      <c r="A14" s="311"/>
      <c r="C14" s="242"/>
      <c r="D14" s="242"/>
      <c r="E14" s="242"/>
      <c r="F14" s="242"/>
      <c r="G14" s="242"/>
      <c r="H14" s="242"/>
      <c r="I14" s="242"/>
      <c r="J14" s="242"/>
      <c r="K14" s="242"/>
      <c r="V14" s="311"/>
    </row>
    <row r="15" spans="1:22" ht="21">
      <c r="A15" s="311"/>
      <c r="C15" s="417" t="s">
        <v>1402</v>
      </c>
      <c r="D15" s="1006" t="s">
        <v>1403</v>
      </c>
      <c r="E15" s="1006"/>
      <c r="F15" s="242"/>
      <c r="G15" s="242"/>
      <c r="H15" s="242"/>
      <c r="I15" s="242"/>
      <c r="J15" s="242"/>
      <c r="K15" s="242"/>
      <c r="V15" s="311"/>
    </row>
    <row r="16" spans="1:22" ht="21">
      <c r="A16" s="311"/>
      <c r="C16" s="417" t="s">
        <v>1404</v>
      </c>
      <c r="D16" s="1007">
        <v>2021</v>
      </c>
      <c r="E16" s="1007"/>
      <c r="F16" s="242"/>
      <c r="G16" s="242"/>
      <c r="H16" s="242"/>
      <c r="I16" s="242"/>
      <c r="J16" s="242"/>
      <c r="K16" s="242"/>
      <c r="V16" s="311"/>
    </row>
    <row r="17" spans="1:22" ht="21">
      <c r="A17" s="311"/>
      <c r="C17" s="242"/>
      <c r="D17" s="242"/>
      <c r="E17" s="242"/>
      <c r="F17" s="1005" t="s">
        <v>206</v>
      </c>
      <c r="G17" s="1005"/>
      <c r="H17" s="1005"/>
      <c r="I17" s="1005"/>
      <c r="J17" s="1005"/>
      <c r="K17" s="1005"/>
      <c r="V17" s="311"/>
    </row>
    <row r="18" spans="1:22" ht="21">
      <c r="A18" s="311"/>
      <c r="C18" s="242"/>
      <c r="D18" s="754" t="s">
        <v>76</v>
      </c>
      <c r="E18" s="754" t="s">
        <v>77</v>
      </c>
      <c r="F18" s="755">
        <f>Parameters!$C$31</f>
        <v>0</v>
      </c>
      <c r="G18" s="755">
        <f>Parameters!$C$32</f>
        <v>0</v>
      </c>
      <c r="H18" s="755">
        <f>Parameters!$C$33</f>
        <v>0</v>
      </c>
      <c r="I18" s="755">
        <f>Parameters!$C$34</f>
        <v>0</v>
      </c>
      <c r="J18" s="755">
        <f>Parameters!$C$35</f>
        <v>0</v>
      </c>
      <c r="K18" s="755">
        <f>Parameters!$C$36</f>
        <v>0</v>
      </c>
      <c r="V18" s="311"/>
    </row>
    <row r="19" spans="1:22" ht="21">
      <c r="A19" s="311"/>
      <c r="C19" s="242"/>
      <c r="D19" s="756" t="s">
        <v>95</v>
      </c>
      <c r="E19" s="756" t="s">
        <v>1405</v>
      </c>
      <c r="F19" s="753">
        <f>SUMIFS(Stationary_Combustion[CO2e (tonnes)], Stationary_Combustion[Year], F18)</f>
        <v>0</v>
      </c>
      <c r="G19" s="753">
        <f>SUMIFS(Stationary_Combustion[CO2e (tonnes)], Stationary_Combustion[Year], G18)</f>
        <v>0</v>
      </c>
      <c r="H19" s="753">
        <f>SUMIFS(Stationary_Combustion[CO2e (tonnes)], Stationary_Combustion[Year], H18)</f>
        <v>0</v>
      </c>
      <c r="I19" s="753">
        <f>SUMIFS(Stationary_Combustion[CO2e (tonnes)], Stationary_Combustion[Year], I18)</f>
        <v>0</v>
      </c>
      <c r="J19" s="753">
        <f>SUMIFS(Stationary_Combustion[CO2e (tonnes)], Stationary_Combustion[Year], J18)</f>
        <v>0</v>
      </c>
      <c r="K19" s="753">
        <f>SUMIFS(Stationary_Combustion[CO2e (tonnes)], Stationary_Combustion[Year], K18)</f>
        <v>0</v>
      </c>
      <c r="V19" s="311"/>
    </row>
    <row r="20" spans="1:22" ht="21">
      <c r="A20" s="311"/>
      <c r="C20" s="242"/>
      <c r="D20" s="756"/>
      <c r="E20" s="756" t="s">
        <v>1406</v>
      </c>
      <c r="F20" s="753">
        <f>SUMIFS(Table13[[#All],[Column14]], Table13[[#All],[Column1]], F18)</f>
        <v>0</v>
      </c>
      <c r="G20" s="753">
        <f>SUMIFS(Table13[[#All],[Column14]], Table13[[#All],[Column1]], G18)</f>
        <v>0</v>
      </c>
      <c r="H20" s="753">
        <f>SUMIFS(Table13[[#All],[Column14]], Table13[[#All],[Column1]], H18)</f>
        <v>0</v>
      </c>
      <c r="I20" s="753">
        <f>SUMIFS(Table13[[#All],[Column14]], Table13[[#All],[Column1]], I18)</f>
        <v>0</v>
      </c>
      <c r="J20" s="753">
        <f>SUMIFS(Table13[[#All],[Column14]], Table13[[#All],[Column1]], J18)</f>
        <v>0</v>
      </c>
      <c r="K20" s="753">
        <f>SUMIFS(Table13[[#All],[Column14]], Table13[[#All],[Column1]], K18)</f>
        <v>0</v>
      </c>
      <c r="V20" s="311"/>
    </row>
    <row r="21" spans="1:22" ht="21">
      <c r="A21" s="311"/>
      <c r="C21" s="242"/>
      <c r="D21" s="756"/>
      <c r="E21" s="756" t="s">
        <v>1407</v>
      </c>
      <c r="F21" s="753">
        <f>SUM(SUMIFS('S1-Refrigerants'!P35:P52, 'S1-Refrigerants'!B35:B52, F18), SUMIFS('S1-Refrigerants'!U65:U82, 'S1-Refrigerants'!B65:B82, F18), SUMIFS('S1-Refrigerants'!O95:O112, 'S1-Refrigerants'!B95:B112, F18))</f>
        <v>0</v>
      </c>
      <c r="G21" s="753">
        <f>SUM(SUMIFS('S1-Refrigerants'!P35:P52, 'S1-Refrigerants'!B35:B52, G18), SUMIFS('S1-Refrigerants'!U65:U82, 'S1-Refrigerants'!B65:B82, G18), SUMIFS('S1-Refrigerants'!O95:O112, 'S1-Refrigerants'!B95:B112, G18))</f>
        <v>0</v>
      </c>
      <c r="H21" s="753">
        <f>SUM(SUMIFS('S1-Refrigerants'!P35:P52, 'S1-Refrigerants'!B35:B52, H18), SUMIFS('S1-Refrigerants'!U65:U82, 'S1-Refrigerants'!B65:B82, H18), SUMIFS('S1-Refrigerants'!O95:O112, 'S1-Refrigerants'!B95:B112, H18))</f>
        <v>0</v>
      </c>
      <c r="I21" s="753">
        <f>SUM(SUMIFS('S1-Refrigerants'!P35:P52, 'S1-Refrigerants'!B35:B52, I18), SUMIFS('S1-Refrigerants'!U65:U82, 'S1-Refrigerants'!B65:B82, I18), SUMIFS('S1-Refrigerants'!O95:O112, 'S1-Refrigerants'!B95:B112, I18))</f>
        <v>0</v>
      </c>
      <c r="J21" s="753">
        <f>SUM(SUMIFS('S1-Refrigerants'!P35:P52, 'S1-Refrigerants'!B35:B52, J18), SUMIFS('S1-Refrigerants'!U65:U82, 'S1-Refrigerants'!B65:B82, J18), SUMIFS('S1-Refrigerants'!O95:O112, 'S1-Refrigerants'!B95:B112, J18))</f>
        <v>0</v>
      </c>
      <c r="K21" s="753">
        <f>SUM(SUMIFS('S1-Refrigerants'!P35:P52, 'S1-Refrigerants'!B35:B52, K18), SUMIFS('S1-Refrigerants'!U65:U82, 'S1-Refrigerants'!B65:B82, K18), SUMIFS('S1-Refrigerants'!O95:O112, 'S1-Refrigerants'!B95:B112, K18))</f>
        <v>0</v>
      </c>
      <c r="V21" s="311"/>
    </row>
    <row r="22" spans="1:22" ht="21">
      <c r="A22" s="311"/>
      <c r="C22" s="242"/>
      <c r="D22" s="756"/>
      <c r="E22" s="755" t="s">
        <v>1408</v>
      </c>
      <c r="F22" s="757"/>
      <c r="G22" s="757"/>
      <c r="H22" s="757"/>
      <c r="I22" s="757"/>
      <c r="J22" s="757"/>
      <c r="K22" s="757"/>
      <c r="V22" s="311"/>
    </row>
    <row r="23" spans="1:22" ht="21">
      <c r="A23" s="311"/>
      <c r="C23" s="242"/>
      <c r="D23" s="756"/>
      <c r="E23" s="784" t="s">
        <v>1409</v>
      </c>
      <c r="F23" s="785">
        <f>SUM(F19:F21)</f>
        <v>0</v>
      </c>
      <c r="G23" s="785">
        <f t="shared" ref="G23:K23" si="0">SUM(G19:G21)</f>
        <v>0</v>
      </c>
      <c r="H23" s="785">
        <f t="shared" si="0"/>
        <v>0</v>
      </c>
      <c r="I23" s="785">
        <f t="shared" si="0"/>
        <v>0</v>
      </c>
      <c r="J23" s="785">
        <f t="shared" si="0"/>
        <v>0</v>
      </c>
      <c r="K23" s="785">
        <f t="shared" si="0"/>
        <v>0</v>
      </c>
      <c r="V23" s="311"/>
    </row>
    <row r="24" spans="1:22" ht="21">
      <c r="A24" s="311"/>
      <c r="C24" s="242"/>
      <c r="D24" s="756" t="s">
        <v>100</v>
      </c>
      <c r="E24" s="756" t="s">
        <v>1410</v>
      </c>
      <c r="F24" s="753">
        <f>SUMIFS(Purchased_Electricity[CO2e (tonnes)], Purchased_Electricity[Year], F18, Purchased_Electricity[Calculation Approach], Dropdowns!$S$2)</f>
        <v>0</v>
      </c>
      <c r="G24" s="753">
        <f>SUMIFS(Purchased_Electricity[CO2e (tonnes)], Purchased_Electricity[Year], G18, Purchased_Electricity[Calculation Approach], Dropdowns!$S$2)</f>
        <v>0</v>
      </c>
      <c r="H24" s="753">
        <f>SUMIFS(Purchased_Electricity[CO2e (tonnes)], Purchased_Electricity[Year], H18, Purchased_Electricity[Calculation Approach], Dropdowns!$S$2)</f>
        <v>0</v>
      </c>
      <c r="I24" s="753">
        <f>SUMIFS(Purchased_Electricity[CO2e (tonnes)], Purchased_Electricity[Year], I18, Purchased_Electricity[Calculation Approach], Dropdowns!$S$2)</f>
        <v>0</v>
      </c>
      <c r="J24" s="753">
        <f>SUMIFS(Purchased_Electricity[CO2e (tonnes)], Purchased_Electricity[Year], J18, Purchased_Electricity[Calculation Approach], Dropdowns!$S$2)</f>
        <v>0</v>
      </c>
      <c r="K24" s="753">
        <f>SUMIFS(Purchased_Electricity[CO2e (tonnes)], Purchased_Electricity[Year], K18, Purchased_Electricity[Calculation Approach], Dropdowns!$S$2)</f>
        <v>0</v>
      </c>
      <c r="V24" s="311"/>
    </row>
    <row r="25" spans="1:22" ht="21">
      <c r="A25" s="311"/>
      <c r="C25" s="242"/>
      <c r="D25" s="756"/>
      <c r="E25" s="756" t="s">
        <v>1411</v>
      </c>
      <c r="F25" s="753">
        <f>SUMIFS(Purchased_Electricity[CO2e (tonnes)], Purchased_Electricity[Year], F18, Purchased_Electricity[Calculation Approach], Dropdowns!$S$3)</f>
        <v>0</v>
      </c>
      <c r="G25" s="753">
        <f>SUMIFS(Purchased_Electricity[CO2e (tonnes)], Purchased_Electricity[Year], G18, Purchased_Electricity[Calculation Approach], Dropdowns!$S$3)</f>
        <v>0</v>
      </c>
      <c r="H25" s="753">
        <f>SUMIFS(Purchased_Electricity[CO2e (tonnes)], Purchased_Electricity[Year], H18, Purchased_Electricity[Calculation Approach], Dropdowns!$S$3)</f>
        <v>0</v>
      </c>
      <c r="I25" s="753">
        <f>SUMIFS(Purchased_Electricity[CO2e (tonnes)], Purchased_Electricity[Year], I18, Purchased_Electricity[Calculation Approach], Dropdowns!$S$3)</f>
        <v>0</v>
      </c>
      <c r="J25" s="753">
        <f>SUMIFS(Purchased_Electricity[CO2e (tonnes)], Purchased_Electricity[Year], J18, Purchased_Electricity[Calculation Approach], Dropdowns!$S$3)</f>
        <v>0</v>
      </c>
      <c r="K25" s="753">
        <f>SUMIFS(Purchased_Electricity[CO2e (tonnes)], Purchased_Electricity[Year], K18, Purchased_Electricity[Calculation Approach], Dropdowns!$S$3)</f>
        <v>0</v>
      </c>
      <c r="V25" s="311"/>
    </row>
    <row r="26" spans="1:22" ht="21">
      <c r="A26" s="311"/>
      <c r="C26" s="242"/>
      <c r="D26" s="756"/>
      <c r="E26" s="756" t="s">
        <v>1412</v>
      </c>
      <c r="F26" s="753">
        <f>SUMIFS(Purchased_Electricity[CO2e (tonnes)], Purchased_Electricity[Year], F18, Purchased_Electricity[Calculation Approach], Dropdowns!$S$4)</f>
        <v>0</v>
      </c>
      <c r="G26" s="753">
        <f>SUMIFS(Purchased_Electricity[CO2e (tonnes)], Purchased_Electricity[Year], G18, Purchased_Electricity[Calculation Approach], Dropdowns!$S$4)</f>
        <v>0</v>
      </c>
      <c r="H26" s="753">
        <f>SUMIFS(Purchased_Electricity[CO2e (tonnes)], Purchased_Electricity[Year], H18, Purchased_Electricity[Calculation Approach], Dropdowns!$S$4)</f>
        <v>0</v>
      </c>
      <c r="I26" s="753">
        <f>SUMIFS(Purchased_Electricity[CO2e (tonnes)], Purchased_Electricity[Year], I18, Purchased_Electricity[Calculation Approach], Dropdowns!$S$4)</f>
        <v>0</v>
      </c>
      <c r="J26" s="753">
        <f>SUMIFS(Purchased_Electricity[CO2e (tonnes)], Purchased_Electricity[Year], J18, Purchased_Electricity[Calculation Approach], Dropdowns!$S$4)</f>
        <v>0</v>
      </c>
      <c r="K26" s="753">
        <f>SUMIFS(Purchased_Electricity[CO2e (tonnes)], Purchased_Electricity[Year], K18, Purchased_Electricity[Calculation Approach], Dropdowns!$S$4)</f>
        <v>0</v>
      </c>
      <c r="V26" s="311"/>
    </row>
    <row r="27" spans="1:22" ht="21">
      <c r="A27" s="311"/>
      <c r="C27" s="242"/>
      <c r="D27" s="756"/>
      <c r="E27" s="784" t="s">
        <v>1413</v>
      </c>
      <c r="F27" s="785">
        <f>SUM(F24,F26)</f>
        <v>0</v>
      </c>
      <c r="G27" s="785">
        <f t="shared" ref="G27:K27" si="1">SUM(G24,G26)</f>
        <v>0</v>
      </c>
      <c r="H27" s="785">
        <f t="shared" si="1"/>
        <v>0</v>
      </c>
      <c r="I27" s="785">
        <f t="shared" si="1"/>
        <v>0</v>
      </c>
      <c r="J27" s="785">
        <f t="shared" si="1"/>
        <v>0</v>
      </c>
      <c r="K27" s="785">
        <f t="shared" si="1"/>
        <v>0</v>
      </c>
      <c r="V27" s="311"/>
    </row>
    <row r="28" spans="1:22" ht="21">
      <c r="A28" s="311"/>
      <c r="C28" s="242"/>
      <c r="D28" s="756"/>
      <c r="E28" s="784" t="s">
        <v>1414</v>
      </c>
      <c r="F28" s="785">
        <f>SUM(F25,F26)</f>
        <v>0</v>
      </c>
      <c r="G28" s="785">
        <f t="shared" ref="G28:K28" si="2">SUM(G25,G26)</f>
        <v>0</v>
      </c>
      <c r="H28" s="785">
        <f t="shared" si="2"/>
        <v>0</v>
      </c>
      <c r="I28" s="785">
        <f t="shared" si="2"/>
        <v>0</v>
      </c>
      <c r="J28" s="785">
        <f t="shared" si="2"/>
        <v>0</v>
      </c>
      <c r="K28" s="785">
        <f t="shared" si="2"/>
        <v>0</v>
      </c>
      <c r="V28" s="311"/>
    </row>
    <row r="29" spans="1:22" ht="21">
      <c r="A29" s="311"/>
      <c r="C29" s="242"/>
      <c r="D29" s="756" t="s">
        <v>98</v>
      </c>
      <c r="E29" s="755" t="s">
        <v>1415</v>
      </c>
      <c r="F29" s="757"/>
      <c r="G29" s="757"/>
      <c r="H29" s="757"/>
      <c r="I29" s="757"/>
      <c r="J29" s="757"/>
      <c r="K29" s="757"/>
      <c r="V29" s="311"/>
    </row>
    <row r="30" spans="1:22" ht="20.25" customHeight="1">
      <c r="A30" s="311"/>
      <c r="C30" s="242"/>
      <c r="D30" s="758"/>
      <c r="E30" s="755" t="s">
        <v>1416</v>
      </c>
      <c r="F30" s="757"/>
      <c r="G30" s="757"/>
      <c r="H30" s="757"/>
      <c r="I30" s="757"/>
      <c r="J30" s="757"/>
      <c r="K30" s="757"/>
      <c r="V30" s="311"/>
    </row>
    <row r="31" spans="1:22" ht="21">
      <c r="A31" s="311"/>
      <c r="C31" s="242"/>
      <c r="D31" s="758"/>
      <c r="E31" s="755" t="s">
        <v>1417</v>
      </c>
      <c r="F31" s="757"/>
      <c r="G31" s="757"/>
      <c r="H31" s="757"/>
      <c r="I31" s="757"/>
      <c r="J31" s="757"/>
      <c r="K31" s="757"/>
      <c r="V31" s="311"/>
    </row>
    <row r="32" spans="1:22" ht="21">
      <c r="A32" s="311"/>
      <c r="C32" s="242"/>
      <c r="D32" s="758"/>
      <c r="E32" s="756" t="s">
        <v>1418</v>
      </c>
      <c r="F32" s="753">
        <f>SUMIFS(Table15[[#All],[Column18]], Table15[[#All],[Column1]], F18, Table15[[#All],[Column3]], "Upstream T&amp;D")</f>
        <v>0</v>
      </c>
      <c r="G32" s="753">
        <f>SUMIFS(Table15[[#All],[Column18]], Table15[[#All],[Column1]], G18, Table15[[#All],[Column3]], "Upstream T&amp;D")</f>
        <v>0</v>
      </c>
      <c r="H32" s="753">
        <f>SUMIFS(Table15[[#All],[Column18]], Table15[[#All],[Column1]], H18, Table15[[#All],[Column3]], "Upstream T&amp;D")</f>
        <v>0</v>
      </c>
      <c r="I32" s="753">
        <f>SUMIFS(Table15[[#All],[Column18]], Table15[[#All],[Column1]], I18, Table15[[#All],[Column3]], "Upstream T&amp;D")</f>
        <v>0</v>
      </c>
      <c r="J32" s="753">
        <f>SUMIFS(Table15[[#All],[Column18]], Table15[[#All],[Column1]], J18, Table15[[#All],[Column3]], "Upstream T&amp;D")</f>
        <v>0</v>
      </c>
      <c r="K32" s="753">
        <f>SUMIFS(Table15[[#All],[Column18]], Table15[[#All],[Column1]], K18, Table15[[#All],[Column3]], "Upstream T&amp;D")</f>
        <v>0</v>
      </c>
      <c r="V32" s="311"/>
    </row>
    <row r="33" spans="1:22" ht="21">
      <c r="A33" s="311"/>
      <c r="C33" s="242"/>
      <c r="D33" s="758"/>
      <c r="E33" s="755" t="s">
        <v>1419</v>
      </c>
      <c r="F33" s="757"/>
      <c r="G33" s="757"/>
      <c r="H33" s="757"/>
      <c r="I33" s="757"/>
      <c r="J33" s="757"/>
      <c r="K33" s="757"/>
      <c r="V33" s="311"/>
    </row>
    <row r="34" spans="1:22" ht="21">
      <c r="A34" s="311"/>
      <c r="C34" s="242"/>
      <c r="D34" s="758"/>
      <c r="E34" s="756" t="s">
        <v>1420</v>
      </c>
      <c r="F34" s="753">
        <f>SUMIFS(Table15[[#All],[Column18]], Table15[[#All],[Column1]], F18, Table15[[#All],[Column3]], "Business Travel")</f>
        <v>0</v>
      </c>
      <c r="G34" s="753">
        <f>SUMIFS(Table15[[#All],[Column18]], Table15[[#All],[Column1]], G18, Table15[[#All],[Column3]], "Business Travel")</f>
        <v>0</v>
      </c>
      <c r="H34" s="753">
        <f>SUMIFS(Table15[[#All],[Column18]], Table15[[#All],[Column1]], H18, Table15[[#All],[Column3]], "Business Travel")</f>
        <v>0</v>
      </c>
      <c r="I34" s="753">
        <f>SUMIFS(Table15[[#All],[Column18]], Table15[[#All],[Column1]], I18, Table15[[#All],[Column3]], "Business Travel")</f>
        <v>0</v>
      </c>
      <c r="J34" s="753">
        <f>SUMIFS(Table15[[#All],[Column18]], Table15[[#All],[Column1]], J18, Table15[[#All],[Column3]], "Business Travel")</f>
        <v>0</v>
      </c>
      <c r="K34" s="753">
        <f>SUMIFS(Table15[[#All],[Column18]], Table15[[#All],[Column1]], K18, Table15[[#All],[Column3]], "Business Travel")</f>
        <v>0</v>
      </c>
      <c r="V34" s="311"/>
    </row>
    <row r="35" spans="1:22" ht="21">
      <c r="A35" s="311"/>
      <c r="C35" s="242"/>
      <c r="D35" s="758"/>
      <c r="E35" s="756" t="s">
        <v>1421</v>
      </c>
      <c r="F35" s="753">
        <f>SUMIFS(Table15[[#All],[Column18]], Table15[[#All],[Column1]], F18, Table15[[#All],[Column3]], "Employee Commute")</f>
        <v>0</v>
      </c>
      <c r="G35" s="753">
        <f>SUMIFS(Table15[[#All],[Column18]], Table15[[#All],[Column1]], G18, Table15[[#All],[Column3]], "Employee Commute")</f>
        <v>0</v>
      </c>
      <c r="H35" s="753">
        <f>SUMIFS(Table15[[#All],[Column18]], Table15[[#All],[Column1]], H18, Table15[[#All],[Column3]], "Employee Commute")</f>
        <v>0</v>
      </c>
      <c r="I35" s="753">
        <f>SUMIFS(Table15[[#All],[Column18]], Table15[[#All],[Column1]], I18, Table15[[#All],[Column3]], "Employee Commute")</f>
        <v>0</v>
      </c>
      <c r="J35" s="753">
        <f>SUMIFS(Table15[[#All],[Column18]], Table15[[#All],[Column1]], J18, Table15[[#All],[Column3]], "Employee Commute")</f>
        <v>0</v>
      </c>
      <c r="K35" s="753">
        <f>SUMIFS(Table15[[#All],[Column18]], Table15[[#All],[Column1]], K18, Table15[[#All],[Column3]], "Employee Commute")</f>
        <v>0</v>
      </c>
      <c r="V35" s="311"/>
    </row>
    <row r="36" spans="1:22" ht="21">
      <c r="A36" s="311"/>
      <c r="C36" s="242"/>
      <c r="D36" s="759"/>
      <c r="E36" s="755" t="s">
        <v>1422</v>
      </c>
      <c r="F36" s="757"/>
      <c r="G36" s="757"/>
      <c r="H36" s="757"/>
      <c r="I36" s="757"/>
      <c r="J36" s="757"/>
      <c r="K36" s="757"/>
      <c r="V36" s="311"/>
    </row>
    <row r="37" spans="1:22" ht="21">
      <c r="A37" s="311"/>
      <c r="C37" s="242"/>
      <c r="D37" s="759"/>
      <c r="E37" s="755" t="s">
        <v>1423</v>
      </c>
      <c r="F37" s="757"/>
      <c r="G37" s="757"/>
      <c r="H37" s="757"/>
      <c r="I37" s="757"/>
      <c r="J37" s="757"/>
      <c r="K37" s="757"/>
      <c r="V37" s="311"/>
    </row>
    <row r="38" spans="1:22" ht="21">
      <c r="A38" s="311"/>
      <c r="C38" s="242"/>
      <c r="D38" s="759"/>
      <c r="E38" s="755" t="s">
        <v>1424</v>
      </c>
      <c r="F38" s="757"/>
      <c r="G38" s="757"/>
      <c r="H38" s="757"/>
      <c r="I38" s="757"/>
      <c r="J38" s="757"/>
      <c r="K38" s="757"/>
      <c r="V38" s="311"/>
    </row>
    <row r="39" spans="1:22" ht="21">
      <c r="A39" s="311"/>
      <c r="C39" s="242"/>
      <c r="D39" s="759"/>
      <c r="E39" s="755" t="s">
        <v>1425</v>
      </c>
      <c r="F39" s="757"/>
      <c r="G39" s="757"/>
      <c r="H39" s="757"/>
      <c r="I39" s="757"/>
      <c r="J39" s="757"/>
      <c r="K39" s="757"/>
      <c r="V39" s="311"/>
    </row>
    <row r="40" spans="1:22" ht="21">
      <c r="A40" s="311"/>
      <c r="C40" s="242"/>
      <c r="D40" s="759"/>
      <c r="E40" s="755" t="s">
        <v>1426</v>
      </c>
      <c r="F40" s="757"/>
      <c r="G40" s="757"/>
      <c r="H40" s="757"/>
      <c r="I40" s="757"/>
      <c r="J40" s="757"/>
      <c r="K40" s="757"/>
      <c r="V40" s="311"/>
    </row>
    <row r="41" spans="1:22" ht="21">
      <c r="A41" s="311"/>
      <c r="C41" s="242"/>
      <c r="D41" s="759"/>
      <c r="E41" s="755" t="s">
        <v>1427</v>
      </c>
      <c r="F41" s="757"/>
      <c r="G41" s="757"/>
      <c r="H41" s="757"/>
      <c r="I41" s="757"/>
      <c r="J41" s="757"/>
      <c r="K41" s="757"/>
      <c r="V41" s="311"/>
    </row>
    <row r="42" spans="1:22" ht="21">
      <c r="A42" s="311"/>
      <c r="C42" s="242"/>
      <c r="D42" s="759"/>
      <c r="E42" s="755" t="s">
        <v>1428</v>
      </c>
      <c r="F42" s="757"/>
      <c r="G42" s="757"/>
      <c r="H42" s="757"/>
      <c r="I42" s="757"/>
      <c r="J42" s="757"/>
      <c r="K42" s="757"/>
      <c r="V42" s="311"/>
    </row>
    <row r="43" spans="1:22" ht="21">
      <c r="A43" s="311"/>
      <c r="C43" s="242"/>
      <c r="D43" s="759"/>
      <c r="E43" s="755" t="s">
        <v>1429</v>
      </c>
      <c r="F43" s="757"/>
      <c r="G43" s="757"/>
      <c r="H43" s="757"/>
      <c r="I43" s="757"/>
      <c r="J43" s="757"/>
      <c r="K43" s="757"/>
      <c r="V43" s="311"/>
    </row>
    <row r="44" spans="1:22" ht="21">
      <c r="A44" s="311"/>
      <c r="C44" s="242"/>
      <c r="D44" s="756" t="s">
        <v>1430</v>
      </c>
      <c r="E44" s="756"/>
      <c r="F44" s="753">
        <f>SUM(SUMIFS(Stationary_Combustion[Biofuel CO2
(tonnes)], Stationary_Combustion[Year], F18), SUMIFS(Table13[[#All],[Column15]], Table13[[#All],[Column1]], F18))</f>
        <v>0</v>
      </c>
      <c r="G44" s="753">
        <f>SUM(SUMIFS(Stationary_Combustion[Biofuel CO2
(tonnes)], Stationary_Combustion[Year], G18), SUMIFS(Table13[[#All],[Column15]], Table13[[#All],[Column1]], G18))</f>
        <v>0</v>
      </c>
      <c r="H44" s="753">
        <f>SUM(SUMIFS(Stationary_Combustion[Biofuel CO2
(tonnes)], Stationary_Combustion[Year], H18), SUMIFS(Table13[[#All],[Column15]], Table13[[#All],[Column1]], H18))</f>
        <v>0</v>
      </c>
      <c r="I44" s="753">
        <f>SUM(SUMIFS(Stationary_Combustion[Biofuel CO2
(tonnes)], Stationary_Combustion[Year], I18), SUMIFS(Table13[[#All],[Column15]], Table13[[#All],[Column1]], I18))</f>
        <v>0</v>
      </c>
      <c r="J44" s="753">
        <f>SUM(SUMIFS(Stationary_Combustion[Biofuel CO2
(tonnes)], Stationary_Combustion[Year], J18), SUMIFS(Table13[[#All],[Column15]], Table13[[#All],[Column1]], J18))</f>
        <v>0</v>
      </c>
      <c r="K44" s="753">
        <f>SUM(SUMIFS(Stationary_Combustion[Biofuel CO2
(tonnes)], Stationary_Combustion[Year], K18), SUMIFS(Table13[[#All],[Column15]], Table13[[#All],[Column1]], K18))</f>
        <v>0</v>
      </c>
      <c r="V44" s="311"/>
    </row>
    <row r="45" spans="1:22" ht="21">
      <c r="A45" s="311"/>
      <c r="C45" s="242"/>
      <c r="D45" s="755" t="s">
        <v>1431</v>
      </c>
      <c r="E45" s="755"/>
      <c r="F45" s="757"/>
      <c r="G45" s="757"/>
      <c r="H45" s="757"/>
      <c r="I45" s="757"/>
      <c r="J45" s="757"/>
      <c r="K45" s="757"/>
      <c r="V45" s="311"/>
    </row>
    <row r="46" spans="1:22" ht="21">
      <c r="A46" s="311"/>
      <c r="C46" s="242"/>
      <c r="D46" s="756" t="s">
        <v>1432</v>
      </c>
      <c r="E46" s="756"/>
      <c r="F46" s="753">
        <f>SUMIFS(Table15[[#All],[Column19]], Table15[[#All],[Column1]], F18)</f>
        <v>0</v>
      </c>
      <c r="G46" s="753">
        <f>SUMIFS(Table15[[#All],[Column19]], Table15[[#All],[Column1]], G18)</f>
        <v>0</v>
      </c>
      <c r="H46" s="753">
        <f>SUMIFS(Table15[[#All],[Column19]], Table15[[#All],[Column1]], H18)</f>
        <v>0</v>
      </c>
      <c r="I46" s="753">
        <f>SUMIFS(Table15[[#All],[Column19]], Table15[[#All],[Column1]], I18)</f>
        <v>0</v>
      </c>
      <c r="J46" s="753">
        <f>SUMIFS(Table15[[#All],[Column19]], Table15[[#All],[Column1]], J18)</f>
        <v>0</v>
      </c>
      <c r="K46" s="753">
        <f>SUMIFS(Table15[[#All],[Column19]], Table15[[#All],[Column1]], K18)</f>
        <v>0</v>
      </c>
      <c r="V46" s="311"/>
    </row>
    <row r="47" spans="1:22">
      <c r="A47" s="311"/>
      <c r="V47" s="311"/>
    </row>
    <row r="48" spans="1:22">
      <c r="A48" s="311"/>
      <c r="V48" s="311"/>
    </row>
    <row r="49" spans="1:34">
      <c r="A49" s="311"/>
      <c r="V49" s="311"/>
    </row>
    <row r="50" spans="1:34" s="311" customFormat="1"/>
    <row r="51" spans="1:34" s="311" customFormat="1"/>
    <row r="52" spans="1:34">
      <c r="A52" s="311"/>
      <c r="V52" s="311"/>
    </row>
    <row r="53" spans="1:34" ht="23.25">
      <c r="A53" s="311"/>
      <c r="C53" s="213" t="s">
        <v>1433</v>
      </c>
      <c r="V53" s="311"/>
    </row>
    <row r="54" spans="1:34">
      <c r="A54" s="311"/>
      <c r="V54" s="311"/>
    </row>
    <row r="55" spans="1:34" ht="18.75">
      <c r="A55" s="311"/>
      <c r="C55" s="248" t="s">
        <v>1402</v>
      </c>
      <c r="D55" s="1011" t="s">
        <v>1434</v>
      </c>
      <c r="E55" s="1011"/>
      <c r="F55" s="375"/>
      <c r="G55" s="375"/>
      <c r="H55" s="375"/>
      <c r="I55" s="375"/>
      <c r="J55" s="375"/>
      <c r="K55" s="375"/>
      <c r="V55" s="311"/>
    </row>
    <row r="56" spans="1:34" ht="18.75">
      <c r="A56" s="311"/>
      <c r="C56" s="375"/>
      <c r="D56" s="375"/>
      <c r="E56" s="375"/>
      <c r="F56" s="1004" t="s">
        <v>206</v>
      </c>
      <c r="G56" s="1004"/>
      <c r="H56" s="1004"/>
      <c r="I56" s="1004"/>
      <c r="J56" s="1004"/>
      <c r="K56" s="1004"/>
      <c r="V56" s="311"/>
      <c r="X56" t="s">
        <v>1435</v>
      </c>
      <c r="Y56" s="1003" t="s">
        <v>1436</v>
      </c>
      <c r="Z56" s="1003"/>
      <c r="AA56" s="1003"/>
      <c r="AB56" s="1003"/>
      <c r="AC56" s="1003"/>
      <c r="AD56" s="1003"/>
      <c r="AE56" s="1003"/>
      <c r="AF56" s="1003"/>
      <c r="AG56" s="1003"/>
      <c r="AH56" s="1003"/>
    </row>
    <row r="57" spans="1:34" ht="18.75">
      <c r="A57" s="311"/>
      <c r="C57" s="375"/>
      <c r="D57" s="418" t="s">
        <v>76</v>
      </c>
      <c r="E57" s="418" t="s">
        <v>77</v>
      </c>
      <c r="F57" s="419">
        <f>Parameters!$C$31</f>
        <v>0</v>
      </c>
      <c r="G57" s="419">
        <f>Parameters!$C$32</f>
        <v>0</v>
      </c>
      <c r="H57" s="419">
        <f>Parameters!$C$33</f>
        <v>0</v>
      </c>
      <c r="I57" s="419">
        <f>Parameters!$C$34</f>
        <v>0</v>
      </c>
      <c r="J57" s="419">
        <f>Parameters!$C$35</f>
        <v>0</v>
      </c>
      <c r="K57" s="419">
        <f>Parameters!$C$36</f>
        <v>0</v>
      </c>
      <c r="V57" s="311"/>
      <c r="X57" cm="1">
        <f t="array" ref="X57">LOOKUP(2,1/(COUNTIF($X$56:X56,Table3[Location (Country)])=0),Table3[Location (Country)])</f>
        <v>0</v>
      </c>
      <c r="Y57" t="e">
        <f>X58</f>
        <v>#N/A</v>
      </c>
      <c r="Z57" t="e">
        <f>X59</f>
        <v>#N/A</v>
      </c>
      <c r="AA57" t="e">
        <f>X60</f>
        <v>#N/A</v>
      </c>
      <c r="AB57" t="e">
        <f>X61</f>
        <v>#N/A</v>
      </c>
      <c r="AC57" t="e">
        <f>X62</f>
        <v>#N/A</v>
      </c>
      <c r="AD57" t="e">
        <f>X63</f>
        <v>#N/A</v>
      </c>
      <c r="AE57" t="e">
        <f>X64</f>
        <v>#N/A</v>
      </c>
      <c r="AF57" t="e">
        <f>X65</f>
        <v>#N/A</v>
      </c>
      <c r="AG57" t="e">
        <f>X66</f>
        <v>#N/A</v>
      </c>
      <c r="AH57" t="e">
        <f>X67</f>
        <v>#N/A</v>
      </c>
    </row>
    <row r="58" spans="1:34" ht="15.75" customHeight="1">
      <c r="A58" s="311"/>
      <c r="C58" s="1008">
        <f>IF($D$55="Facility",Parameters!F43,_xlfn.IFNA(IF($D$55="Country",X58,""),""))</f>
        <v>1</v>
      </c>
      <c r="D58" s="420" t="s">
        <v>95</v>
      </c>
      <c r="E58" s="421" t="s">
        <v>88</v>
      </c>
      <c r="F58" s="772" cm="1">
        <f t="array" ref="F58">IF($D$55="Facility", SUMIFS(Stationary_Combustion[CO2e (tonnes)], Stationary_Combustion[Year], F18, Stationary_Combustion[Facility ID], C58),_xlfn.IFNA(IF($D$55="Country",SUMPRODUCT(SUMIFS(Stationary_Combustion[CO2e (tonnes)], Stationary_Combustion[Year], F18, Stationary_Combustion[Facility ID], Y58:Y67)),""), ""))</f>
        <v>0</v>
      </c>
      <c r="G58" s="772" cm="1">
        <f t="array" ref="G58">IF($D$55="Facility", SUMIFS(Stationary_Combustion[CO2e (tonnes)], Stationary_Combustion[Year], G18, Stationary_Combustion[Facility ID], C58),_xlfn.IFNA(IF($D$55="Country",SUMPRODUCT(SUMIFS(Stationary_Combustion[CO2e (tonnes)], Stationary_Combustion[Year], G18, Stationary_Combustion[Facility ID], Y58:Y67)),""), ""))</f>
        <v>0</v>
      </c>
      <c r="H58" s="772" cm="1">
        <f t="array" ref="H58">IF($D$55="Facility", SUMIFS(Stationary_Combustion[CO2e (tonnes)], Stationary_Combustion[Year], H18, Stationary_Combustion[Facility ID], C58),_xlfn.IFNA(IF($D$55="Country",SUMPRODUCT(SUMIFS(Stationary_Combustion[CO2e (tonnes)], Stationary_Combustion[Year], H18, Stationary_Combustion[Facility ID], Y58:Y67)),""), ""))</f>
        <v>0</v>
      </c>
      <c r="I58" s="772" cm="1">
        <f t="array" ref="I58">IF($D$55="Facility", SUMIFS(Stationary_Combustion[CO2e (tonnes)], Stationary_Combustion[Year], I18, Stationary_Combustion[Facility ID], C58),_xlfn.IFNA(IF($D$55="Country",SUMPRODUCT(SUMIFS(Stationary_Combustion[CO2e (tonnes)], Stationary_Combustion[Year], I18, Stationary_Combustion[Facility ID], Y58:Y67)),""), ""))</f>
        <v>0</v>
      </c>
      <c r="J58" s="772" cm="1">
        <f t="array" ref="J58">IF($D$55="Facility", SUMIFS(Stationary_Combustion[CO2e (tonnes)], Stationary_Combustion[Year], J18, Stationary_Combustion[Facility ID], C58),_xlfn.IFNA(IF($D$55="Country",SUMPRODUCT(SUMIFS(Stationary_Combustion[CO2e (tonnes)], Stationary_Combustion[Year], J18, Stationary_Combustion[Facility ID], Y58:Y67)),""), ""))</f>
        <v>0</v>
      </c>
      <c r="K58" s="777" cm="1">
        <f t="array" ref="K58">IF($D$55="Facility", SUMIFS(Stationary_Combustion[CO2e (tonnes)], Stationary_Combustion[Year], K18, Stationary_Combustion[Facility ID], C58),_xlfn.IFNA(IF($D$55="Country",SUMPRODUCT(SUMIFS(Stationary_Combustion[CO2e (tonnes)], Stationary_Combustion[Year], K18, Stationary_Combustion[Facility ID], Y58:Y67)),""), ""))</f>
        <v>0</v>
      </c>
      <c r="M58" s="894"/>
      <c r="V58" s="311"/>
      <c r="X58" t="e" cm="1">
        <f t="array" ref="X58">LOOKUP(2,1/(COUNTIF($J$35:X57,Table3[Location (Country)])=0),Table3[Location (Country)])</f>
        <v>#N/A</v>
      </c>
      <c r="Y58">
        <f t="array" ref="Y58">IFERROR(INDEX(Table3[Facility ID], SMALL(IF($Y$57=Table3[Location (Country)], ROW(Table3[Facility ID])-Parameters!$W$42, ""), ROW()-57)), 0)</f>
        <v>0</v>
      </c>
      <c r="Z58">
        <f t="array" ref="Z58">IFERROR(INDEX(Table3[Facility ID], SMALL(IF($Z$57=Table3[Location (Country)], ROW(Table3[Facility ID])-Parameters!$W$42, ""), ROW()-57)), 0)</f>
        <v>0</v>
      </c>
      <c r="AA58">
        <f t="array" ref="AA58">IFERROR(INDEX(Table3[Facility ID], SMALL(IF($AA$57=Table3[Location (Country)], ROW(Table3[Facility ID])-Parameters!$W$42, ""), ROW()-57)), 0)</f>
        <v>0</v>
      </c>
      <c r="AB58">
        <f t="array" ref="AB58">IFERROR(INDEX(Table3[Facility ID], SMALL(IF($AB$57=Table3[Location (Country)], ROW(Table3[Facility ID])-Parameters!$W$42, ""), ROW()-57)), 0)</f>
        <v>0</v>
      </c>
      <c r="AC58">
        <f t="array" ref="AC58">IFERROR(INDEX(Table3[Facility ID], SMALL(IF($AC$57=Table3[Location (Country)], ROW(Table3[Facility ID])-Parameters!$W$42, ""), ROW()-57)), 0)</f>
        <v>0</v>
      </c>
      <c r="AD58">
        <f t="array" ref="AD58">IFERROR(INDEX(Table3[Facility ID], SMALL(IF($AD$57=Table3[Location (Country)], ROW(Table3[Facility ID])-Parameters!$W$42, ""), ROW()-57)), 0)</f>
        <v>0</v>
      </c>
      <c r="AE58">
        <f t="array" ref="AE58">IFERROR(INDEX(Table3[Facility ID], SMALL(IF($AE$57=Table3[Location (Country)], ROW(Table3[Facility ID])-Parameters!$W$42, ""), ROW()-57)), 0)</f>
        <v>0</v>
      </c>
      <c r="AF58">
        <f t="array" ref="AF58">IFERROR(INDEX(Table3[Facility ID], SMALL(IF($AF$57=Table3[Location (Country)], ROW(Table3[Facility ID])-Parameters!$W$42, ""), ROW()-57)), 0)</f>
        <v>0</v>
      </c>
      <c r="AG58">
        <f t="array" ref="AG58">IFERROR(INDEX(Table3[Facility ID], SMALL(IF($AG$57=Table3[Location (Country)], ROW(Table3[Facility ID])-Parameters!$W$42, ""), ROW()-57)), 0)</f>
        <v>0</v>
      </c>
      <c r="AH58">
        <f t="array" ref="AH58">IFERROR(INDEX(Table3[Facility ID], SMALL(IF($AH$57=Table3[Location (Country)], ROW(Table3[Facility ID])-Parameters!$W$42, ""), ROW()-57)), 0)</f>
        <v>0</v>
      </c>
    </row>
    <row r="59" spans="1:34" ht="15.75" customHeight="1">
      <c r="A59" s="311"/>
      <c r="C59" s="1009"/>
      <c r="D59" s="420"/>
      <c r="E59" s="421" t="s">
        <v>89</v>
      </c>
      <c r="F59" s="772" cm="1">
        <f t="array" ref="F59">IF($D$55="Facility", SUMIFS(Table13[[#All],[Column14]], Table13[[#All],[Column1]], F18, Table13[[#All],[Column3]], C58),_xlfn.IFNA(IF($D$55="Country",SUMPRODUCT(SUMIFS(Table13[[#All],[Column14]], Table13[[#All],[Column1]], F18, Table13[[#All],[Column3]], Y58:Y67)),""), ""))</f>
        <v>0</v>
      </c>
      <c r="G59" s="772" cm="1">
        <f t="array" ref="G59">IF($D$55="Facility", SUMIFS(Table13[[#All],[Column14]], Table13[[#All],[Column1]], G18, Table13[[#All],[Column3]], C58),_xlfn.IFNA(IF($D$55="Country",SUMPRODUCT(SUMIFS(Table13[[#All],[Column14]], Table13[[#All],[Column1]], G18, Table13[[#All],[Column3]], Y58:Y67)),""), ""))</f>
        <v>0</v>
      </c>
      <c r="H59" s="772" cm="1">
        <f t="array" ref="H59">IF($D$55="Facility", SUMIFS(Table13[[#All],[Column14]], Table13[[#All],[Column1]], H18, Table13[[#All],[Column3]], C58),_xlfn.IFNA(IF($D$55="Country",SUMPRODUCT(SUMIFS(Table13[[#All],[Column14]], Table13[[#All],[Column1]], H18, Table13[[#All],[Column3]], Y58:Y67)),""), ""))</f>
        <v>0</v>
      </c>
      <c r="I59" s="772" cm="1">
        <f t="array" ref="I59">IF($D$55="Facility", SUMIFS(Table13[[#All],[Column14]], Table13[[#All],[Column1]], I18, Table13[[#All],[Column3]], C58),_xlfn.IFNA(IF($D$55="Country",SUMPRODUCT(SUMIFS(Table13[[#All],[Column14]], Table13[[#All],[Column1]], I18, Table13[[#All],[Column3]], Y58:Y67)),""), ""))</f>
        <v>0</v>
      </c>
      <c r="J59" s="772" cm="1">
        <f t="array" ref="J59">IF($D$55="Facility", SUMIFS(Table13[[#All],[Column14]], Table13[[#All],[Column1]], J18, Table13[[#All],[Column3]], C58),_xlfn.IFNA(IF($D$55="Country",SUMPRODUCT(SUMIFS(Table13[[#All],[Column14]], Table13[[#All],[Column1]], J18, Table13[[#All],[Column3]], Y58:Y67)),""), ""))</f>
        <v>0</v>
      </c>
      <c r="K59" s="777" cm="1">
        <f t="array" ref="K59">IF($D$55="Facility", SUMIFS(Table13[[#All],[Column14]], Table13[[#All],[Column1]], K18, Table13[[#All],[Column3]], C58),_xlfn.IFNA(IF($D$55="Country",SUMPRODUCT(SUMIFS(Table13[[#All],[Column14]], Table13[[#All],[Column1]], K18, Table13[[#All],[Column3]], Y58:Y67)),""), ""))</f>
        <v>0</v>
      </c>
      <c r="M59" s="894"/>
      <c r="V59" s="311"/>
      <c r="X59" t="e">
        <f>LOOKUP(2,1/(COUNTIF($J$35:X58,Table3[Location (Country)])=0),Table3[Location (Country)])</f>
        <v>#N/A</v>
      </c>
      <c r="Y59">
        <f t="array" ref="Y59">IFERROR(INDEX(Table3[Facility ID], SMALL(IF($Y$57=Table3[Location (Country)], ROW(Table3[Facility ID])-Parameters!$W$42, ""), ROW()-57)), 0)</f>
        <v>0</v>
      </c>
      <c r="Z59">
        <f t="array" ref="Z59">IFERROR(INDEX(Table3[Facility ID], SMALL(IF($Z$57=Table3[Location (Country)], ROW(Table3[Facility ID])-Parameters!$W$42, ""), ROW()-57)), 0)</f>
        <v>0</v>
      </c>
      <c r="AA59">
        <f t="array" ref="AA59">IFERROR(INDEX(Table3[Facility ID], SMALL(IF($AA$57=Table3[Location (Country)], ROW(Table3[Facility ID])-Parameters!$W$42, ""), ROW()-57)), 0)</f>
        <v>0</v>
      </c>
      <c r="AB59">
        <f t="array" ref="AB59">IFERROR(INDEX(Table3[Facility ID], SMALL(IF($AB$57=Table3[Location (Country)], ROW(Table3[Facility ID])-Parameters!$W$42, ""), ROW()-57)), 0)</f>
        <v>0</v>
      </c>
      <c r="AC59">
        <f t="array" ref="AC59">IFERROR(INDEX(Table3[Facility ID], SMALL(IF($AC$57=Table3[Location (Country)], ROW(Table3[Facility ID])-Parameters!$W$42, ""), ROW()-57)), 0)</f>
        <v>0</v>
      </c>
      <c r="AD59">
        <f t="array" ref="AD59">IFERROR(INDEX(Table3[Facility ID], SMALL(IF($AD$57=Table3[Location (Country)], ROW(Table3[Facility ID])-Parameters!$W$42, ""), ROW()-57)), 0)</f>
        <v>0</v>
      </c>
      <c r="AE59">
        <f t="array" ref="AE59">IFERROR(INDEX(Table3[Facility ID], SMALL(IF($AE$57=Table3[Location (Country)], ROW(Table3[Facility ID])-Parameters!$W$42, ""), ROW()-57)), 0)</f>
        <v>0</v>
      </c>
      <c r="AF59">
        <f t="array" ref="AF59">IFERROR(INDEX(Table3[Facility ID], SMALL(IF($AF$57=Table3[Location (Country)], ROW(Table3[Facility ID])-Parameters!$W$42, ""), ROW()-57)), 0)</f>
        <v>0</v>
      </c>
      <c r="AG59">
        <f t="array" ref="AG59">IFERROR(INDEX(Table3[Facility ID], SMALL(IF($AG$57=Table3[Location (Country)], ROW(Table3[Facility ID])-Parameters!$W$42, ""), ROW()-57)), 0)</f>
        <v>0</v>
      </c>
      <c r="AH59">
        <f t="array" ref="AH59">IFERROR(INDEX(Table3[Facility ID], SMALL(IF($AH$57=Table3[Location (Country)], ROW(Table3[Facility ID])-Parameters!$W$42, ""), ROW()-57)), 0)</f>
        <v>0</v>
      </c>
    </row>
    <row r="60" spans="1:34" ht="15.75" customHeight="1">
      <c r="A60" s="311"/>
      <c r="C60" s="1009"/>
      <c r="D60" s="422"/>
      <c r="E60" s="423" t="s">
        <v>1437</v>
      </c>
      <c r="F60" s="773" cm="1">
        <f t="array" ref="F60">IF($D$55="Facility", SUM(SUMIFS('S1-Refrigerants'!P35:P52, 'S1-Refrigerants'!$B$35:$B$52, F18, 'S1-Refrigerants'!$C$35:$C$52, C58), SUMIFS('S1-Refrigerants'!$U$65:$U$82, 'S1-Refrigerants'!$B$65:$B$82, F18, 'S1-Refrigerants'!$C$65:$C$82, C58), SUMIFS('S1-Refrigerants'!$O$95:$O$112, 'S1-Refrigerants'!$B$95:$B$112, F18, 'S1-Refrigerants'!$C$95:$C$112, C58)), _xlfn.IFNA(IF($D$55="Country", SUM(SUMPRODUCT(SUMIFS('S1-Refrigerants'!$P$35:$P$52, 'S1-Refrigerants'!$B$35:$B$52, F18, 'S1-Refrigerants'!$C$35:$C$52, Y58:Y67)), SUMPRODUCT(SUMIFS('S1-Refrigerants'!$U$65:$U$82, 'S1-Refrigerants'!$B$65:$B$82, F18, 'S1-Refrigerants'!$C$65:$C$82, Y58:Y67)), SUMPRODUCT(SUMIFS('S1-Refrigerants'!$O$95:$O$112, 'S1-Refrigerants'!$B$95:$B$112, F18, 'S1-Refrigerants'!$C$95:$C$112, Y58:Y67)))),""))</f>
        <v>0</v>
      </c>
      <c r="G60" s="773" cm="1">
        <f t="array" ref="G60">IF($D$55="Facility", SUM(SUMIFS('S1-Refrigerants'!P35:P52, 'S1-Refrigerants'!$B$35:$B$52, G18, 'S1-Refrigerants'!$C$35:$C$52, C58), SUMIFS('S1-Refrigerants'!U65:U82, 'S1-Refrigerants'!$B$65:$B$82, G18, 'S1-Refrigerants'!$C$65:$C$82, C58), SUMIFS('S1-Refrigerants'!O95:O112, 'S1-Refrigerants'!$B$95:$B$112, G18, 'S1-Refrigerants'!$C$95:$C$112, C58)), _xlfn.IFNA(IF($D$55="Country", SUM(SUMPRODUCT(SUMIFS('S1-Refrigerants'!$P$35:$P$52, 'S1-Refrigerants'!$B$35:$B$52, G18, 'S1-Refrigerants'!$C$35:$C$52, Y58:Y67)), SUMPRODUCT(SUMIFS('S1-Refrigerants'!$U$65:$U$82, 'S1-Refrigerants'!$B$65:$B$82, G18, 'S1-Refrigerants'!$C$65:$C$82, Y58:Y67)), SUMPRODUCT(SUMIFS('S1-Refrigerants'!$O$95:$O$112, 'S1-Refrigerants'!$B$95:$B$112, G18, 'S1-Refrigerants'!$C$95:$C$112, Y58:Y67)))),""))</f>
        <v>0</v>
      </c>
      <c r="H60" s="773" cm="1">
        <f t="array" ref="H60">IF($D$55="Facility", SUM(SUMIFS('S1-Refrigerants'!P35:P52, 'S1-Refrigerants'!$B$35:$B$52, H18, 'S1-Refrigerants'!$C$35:$C$52, C58), SUMIFS('S1-Refrigerants'!U65:U82, 'S1-Refrigerants'!$B$65:$B$82, H18, 'S1-Refrigerants'!$C$65:$C$82, C58), SUMIFS('S1-Refrigerants'!O95:O112, 'S1-Refrigerants'!$B$95:$B$112, H18, 'S1-Refrigerants'!$C$95:$C$112, C58)), _xlfn.IFNA(IF($D$55="Country", SUM(SUMPRODUCT(SUMIFS('S1-Refrigerants'!$P$35:$P$52, 'S1-Refrigerants'!$B$35:$B$52, H18, 'S1-Refrigerants'!$C$35:$C$52, Y58:Y67)), SUMPRODUCT(SUMIFS('S1-Refrigerants'!$U$65:$U$82, 'S1-Refrigerants'!$B$65:$B$82, H18, 'S1-Refrigerants'!$C$65:$C$82, Y58:Y67)), SUMPRODUCT(SUMIFS('S1-Refrigerants'!$O$95:$O$112, 'S1-Refrigerants'!$B$95:$B$112, H18, 'S1-Refrigerants'!$C$95:$C$112, Y58:Y67)))),""))</f>
        <v>0</v>
      </c>
      <c r="I60" s="773" cm="1">
        <f t="array" ref="I60">IF($D$55="Facility", SUM(SUMIFS('S1-Refrigerants'!P35:P52, 'S1-Refrigerants'!$B$35:$B$52, I18, 'S1-Refrigerants'!$C$35:$C$52, C58), SUMIFS('S1-Refrigerants'!U65:U82, 'S1-Refrigerants'!$B$65:$B$82, I18, 'S1-Refrigerants'!$C$65:$C$82, C58), SUMIFS('S1-Refrigerants'!O95:O112, 'S1-Refrigerants'!$B$95:$B$112, I18, 'S1-Refrigerants'!$C$95:$C$112, C58)), _xlfn.IFNA(IF($D$55="Country", SUM(SUMPRODUCT(SUMIFS('S1-Refrigerants'!$P$35:$P$52, 'S1-Refrigerants'!$B$35:$B$52, I18, 'S1-Refrigerants'!$C$35:$C$52, Y58:Y67)), SUMPRODUCT(SUMIFS('S1-Refrigerants'!$U$65:$U$82, 'S1-Refrigerants'!$B$65:$B$82, I18, 'S1-Refrigerants'!$C$65:$C$82, Y58:Y67)), SUMPRODUCT(SUMIFS('S1-Refrigerants'!$O$95:$O$112, 'S1-Refrigerants'!$B$95:$B$112, I18, 'S1-Refrigerants'!$C$95:$C$112, Y58:Y67)))),""))</f>
        <v>0</v>
      </c>
      <c r="J60" s="773" cm="1">
        <f t="array" ref="J60">IF($D$55="Facility", SUM(SUMIFS('S1-Refrigerants'!P35:P52, 'S1-Refrigerants'!$B$35:$B$52, J18, 'S1-Refrigerants'!$C$35:$C$52, C58), SUMIFS('S1-Refrigerants'!U65:U82, 'S1-Refrigerants'!$B$65:$B$82, J18, 'S1-Refrigerants'!$C$65:$C$82, C58), SUMIFS('S1-Refrigerants'!O95:O112, 'S1-Refrigerants'!$B$95:$B$112, J18, 'S1-Refrigerants'!$C$95:$C$112, C58)), _xlfn.IFNA(IF($D$55="Country", SUM(SUMPRODUCT(SUMIFS('S1-Refrigerants'!$P$35:$P$52, 'S1-Refrigerants'!$B$35:$B$52, J18, 'S1-Refrigerants'!$C$35:$C$52, Y58:Y67)), SUMPRODUCT(SUMIFS('S1-Refrigerants'!$U$65:$U$82, 'S1-Refrigerants'!$B$65:$B$82, J18, 'S1-Refrigerants'!$C$65:$C$82, Y58:Y67)), SUMPRODUCT(SUMIFS('S1-Refrigerants'!$O$95:$O$112, 'S1-Refrigerants'!$B$95:$B$112, J18, 'S1-Refrigerants'!$C$95:$C$112, Y58:Y67)))),""))</f>
        <v>0</v>
      </c>
      <c r="K60" s="778" cm="1">
        <f t="array" ref="K60">IF($D$55="Facility", SUM(SUMIFS('S1-Refrigerants'!P35:P52, 'S1-Refrigerants'!$B$35:$B$52, K18, 'S1-Refrigerants'!$C$35:$C$52, C58), SUMIFS('S1-Refrigerants'!U65:U82, 'S1-Refrigerants'!$B$65:$B$82, K18, 'S1-Refrigerants'!$C$65:$C$82, C58), SUMIFS('S1-Refrigerants'!O95:O112, 'S1-Refrigerants'!$B$95:$B$112, K18, 'S1-Refrigerants'!$C$95:$C$112, C58)), _xlfn.IFNA(IF($D$55="Country", SUM(SUMPRODUCT(SUMIFS('S1-Refrigerants'!$P$35:$P$52, 'S1-Refrigerants'!$B$35:$B$52, K18, 'S1-Refrigerants'!$C$35:$C$52, Y58:Y67)), SUMPRODUCT(SUMIFS('S1-Refrigerants'!$U$65:$U$82, 'S1-Refrigerants'!$B$65:$B$82, K18, 'S1-Refrigerants'!$C$65:$C$82, Y58:Y67)), SUMPRODUCT(SUMIFS('S1-Refrigerants'!$O$95:$O$112, 'S1-Refrigerants'!$B$95:$B$112, K18, 'S1-Refrigerants'!$C$95:$C$112, Y58:Y67)))),""))</f>
        <v>0</v>
      </c>
      <c r="M60" s="894"/>
      <c r="V60" s="311"/>
      <c r="X60" t="e">
        <f>LOOKUP(2,1/(COUNTIF($J$35:X59,Table3[Location (Country)])=0),Table3[Location (Country)])</f>
        <v>#N/A</v>
      </c>
      <c r="Y60">
        <f t="array" ref="Y60">IFERROR(INDEX(Table3[Facility ID], SMALL(IF($Y$57=Table3[Location (Country)], ROW(Table3[Facility ID])-Parameters!$W$42, ""), ROW()-57)), 0)</f>
        <v>0</v>
      </c>
      <c r="Z60">
        <f t="array" ref="Z60">IFERROR(INDEX(Table3[Facility ID], SMALL(IF($Z$57=Table3[Location (Country)], ROW(Table3[Facility ID])-Parameters!$W$42, ""), ROW()-57)), 0)</f>
        <v>0</v>
      </c>
      <c r="AA60">
        <f t="array" ref="AA60">IFERROR(INDEX(Table3[Facility ID], SMALL(IF($AA$57=Table3[Location (Country)], ROW(Table3[Facility ID])-Parameters!$W$42, ""), ROW()-57)), 0)</f>
        <v>0</v>
      </c>
      <c r="AB60">
        <f t="array" ref="AB60">IFERROR(INDEX(Table3[Facility ID], SMALL(IF($AB$57=Table3[Location (Country)], ROW(Table3[Facility ID])-Parameters!$W$42, ""), ROW()-57)), 0)</f>
        <v>0</v>
      </c>
      <c r="AC60">
        <f t="array" ref="AC60">IFERROR(INDEX(Table3[Facility ID], SMALL(IF($AC$57=Table3[Location (Country)], ROW(Table3[Facility ID])-Parameters!$W$42, ""), ROW()-57)), 0)</f>
        <v>0</v>
      </c>
      <c r="AD60">
        <f t="array" ref="AD60">IFERROR(INDEX(Table3[Facility ID], SMALL(IF($AD$57=Table3[Location (Country)], ROW(Table3[Facility ID])-Parameters!$W$42, ""), ROW()-57)), 0)</f>
        <v>0</v>
      </c>
      <c r="AE60">
        <f t="array" ref="AE60">IFERROR(INDEX(Table3[Facility ID], SMALL(IF($AE$57=Table3[Location (Country)], ROW(Table3[Facility ID])-Parameters!$W$42, ""), ROW()-57)), 0)</f>
        <v>0</v>
      </c>
      <c r="AF60">
        <f t="array" ref="AF60">IFERROR(INDEX(Table3[Facility ID], SMALL(IF($AF$57=Table3[Location (Country)], ROW(Table3[Facility ID])-Parameters!$W$42, ""), ROW()-57)), 0)</f>
        <v>0</v>
      </c>
      <c r="AG60">
        <f t="array" ref="AG60">IFERROR(INDEX(Table3[Facility ID], SMALL(IF($AG$57=Table3[Location (Country)], ROW(Table3[Facility ID])-Parameters!$W$42, ""), ROW()-57)), 0)</f>
        <v>0</v>
      </c>
      <c r="AH60">
        <f t="array" ref="AH60">IFERROR(INDEX(Table3[Facility ID], SMALL(IF($AH$57=Table3[Location (Country)], ROW(Table3[Facility ID])-Parameters!$W$42, ""), ROW()-57)), 0)</f>
        <v>0</v>
      </c>
    </row>
    <row r="61" spans="1:34" ht="15.75" customHeight="1">
      <c r="A61" s="311"/>
      <c r="C61" s="1009"/>
      <c r="D61" s="696" t="s">
        <v>100</v>
      </c>
      <c r="E61" s="776" t="s">
        <v>1438</v>
      </c>
      <c r="F61" s="774" cm="1">
        <f t="array" ref="F61">IF($D$55="Facility", SUMIFS(Purchased_Electricity[CO2e (tonnes)], Purchased_Electricity[Year], F18, Purchased_Electricity[Calculation Approach], Dropdowns!$S$2, Purchased_Electricity[Facility ID], C58), _xlfn.IFNA(IF($D$55="Country",SUMPRODUCT(SUMIFS(Purchased_Electricity[CO2e (tonnes)], Purchased_Electricity[Year], F18, Purchased_Electricity[Calculation Approach], Dropdowns!$S$2, Purchased_Electricity[Facility ID], Y58:Y67)),""), ""))</f>
        <v>0</v>
      </c>
      <c r="G61" s="774" cm="1">
        <f t="array" ref="G61">IF($D$55="Facility", SUMIFS(Purchased_Electricity[CO2e (tonnes)], Purchased_Electricity[Year], G18, Purchased_Electricity[Calculation Approach], Dropdowns!$S$2, Purchased_Electricity[Facility ID], C58), _xlfn.IFNA(IF($D$55="Country",SUMPRODUCT(SUMIFS(Purchased_Electricity[CO2e (tonnes)], Purchased_Electricity[Year], G18, Purchased_Electricity[Calculation Approach], Dropdowns!$S$2, Purchased_Electricity[Facility ID], Y58:Y67)),""), ""))</f>
        <v>0</v>
      </c>
      <c r="H61" s="774" cm="1">
        <f t="array" ref="H61">IF($D$55="Facility", SUMIFS(Purchased_Electricity[CO2e (tonnes)], Purchased_Electricity[Year], H18, Purchased_Electricity[Calculation Approach], Dropdowns!$S$2, Purchased_Electricity[Facility ID], C58), _xlfn.IFNA(IF($D$55="Country",SUMPRODUCT(SUMIFS(Purchased_Electricity[CO2e (tonnes)], Purchased_Electricity[Year], H18, Purchased_Electricity[Calculation Approach], Dropdowns!$S$2, Purchased_Electricity[Facility ID], Y58:Y67)),""), ""))</f>
        <v>0</v>
      </c>
      <c r="I61" s="774" cm="1">
        <f t="array" ref="I61">IF($D$55="Facility", SUMIFS(Purchased_Electricity[CO2e (tonnes)], Purchased_Electricity[Year], I18, Purchased_Electricity[Calculation Approach], Dropdowns!$S$2, Purchased_Electricity[Facility ID], C58), _xlfn.IFNA(IF($D$55="Country",SUMPRODUCT(SUMIFS(Purchased_Electricity[CO2e (tonnes)], Purchased_Electricity[Year], I18, Purchased_Electricity[Calculation Approach], Dropdowns!$S$2, Purchased_Electricity[Facility ID], Y58:Y67)),""), ""))</f>
        <v>0</v>
      </c>
      <c r="J61" s="774" cm="1">
        <f t="array" ref="J61">IF($D$55="Facility", SUMIFS(Purchased_Electricity[CO2e (tonnes)], Purchased_Electricity[Year], J18, Purchased_Electricity[Calculation Approach], Dropdowns!$S$2, Purchased_Electricity[Facility ID], C58), _xlfn.IFNA(IF($D$55="Country",SUMPRODUCT(SUMIFS(Purchased_Electricity[CO2e (tonnes)], Purchased_Electricity[Year], J18, Purchased_Electricity[Calculation Approach], Dropdowns!$S$2, Purchased_Electricity[Facility ID], Y58:Y67)),""), ""))</f>
        <v>0</v>
      </c>
      <c r="K61" s="779" cm="1">
        <f t="array" ref="K61">IF($D$55="Facility", SUMIFS(Purchased_Electricity[CO2e (tonnes)], Purchased_Electricity[Year], K18, Purchased_Electricity[Calculation Approach], Dropdowns!$S$2, Purchased_Electricity[Facility ID], C58), _xlfn.IFNA(IF($D$55="Country",SUMPRODUCT(SUMIFS(Purchased_Electricity[CO2e (tonnes)], Purchased_Electricity[Year], K18, Purchased_Electricity[Calculation Approach], Dropdowns!$S$2, Purchased_Electricity[Facility ID], Y58:Y67)),""), ""))</f>
        <v>0</v>
      </c>
      <c r="M61" s="894"/>
      <c r="V61" s="311"/>
      <c r="X61" t="e">
        <f>LOOKUP(2,1/(COUNTIF($J$35:X60,Table3[Location (Country)])=0),Table3[Location (Country)])</f>
        <v>#N/A</v>
      </c>
      <c r="Y61">
        <f t="array" ref="Y61">IFERROR(INDEX(Table3[Facility ID], SMALL(IF($Y$57=Table3[Location (Country)], ROW(Table3[Facility ID])-Parameters!$W$42, ""), ROW()-57)), 0)</f>
        <v>0</v>
      </c>
      <c r="Z61">
        <f t="array" ref="Z61">IFERROR(INDEX(Table3[Facility ID], SMALL(IF($Z$57=Table3[Location (Country)], ROW(Table3[Facility ID])-Parameters!$W$42, ""), ROW()-57)), 0)</f>
        <v>0</v>
      </c>
      <c r="AA61">
        <f t="array" ref="AA61">IFERROR(INDEX(Table3[Facility ID], SMALL(IF($AA$57=Table3[Location (Country)], ROW(Table3[Facility ID])-Parameters!$W$42, ""), ROW()-57)), 0)</f>
        <v>0</v>
      </c>
      <c r="AB61">
        <f t="array" ref="AB61">IFERROR(INDEX(Table3[Facility ID], SMALL(IF($AB$57=Table3[Location (Country)], ROW(Table3[Facility ID])-Parameters!$W$42, ""), ROW()-57)), 0)</f>
        <v>0</v>
      </c>
      <c r="AC61">
        <f t="array" ref="AC61">IFERROR(INDEX(Table3[Facility ID], SMALL(IF($AC$57=Table3[Location (Country)], ROW(Table3[Facility ID])-Parameters!$W$42, ""), ROW()-57)), 0)</f>
        <v>0</v>
      </c>
      <c r="AD61">
        <f t="array" ref="AD61">IFERROR(INDEX(Table3[Facility ID], SMALL(IF($AD$57=Table3[Location (Country)], ROW(Table3[Facility ID])-Parameters!$W$42, ""), ROW()-57)), 0)</f>
        <v>0</v>
      </c>
      <c r="AE61">
        <f t="array" ref="AE61">IFERROR(INDEX(Table3[Facility ID], SMALL(IF($AE$57=Table3[Location (Country)], ROW(Table3[Facility ID])-Parameters!$W$42, ""), ROW()-57)), 0)</f>
        <v>0</v>
      </c>
      <c r="AF61">
        <f t="array" ref="AF61">IFERROR(INDEX(Table3[Facility ID], SMALL(IF($AF$57=Table3[Location (Country)], ROW(Table3[Facility ID])-Parameters!$W$42, ""), ROW()-57)), 0)</f>
        <v>0</v>
      </c>
      <c r="AG61">
        <f t="array" ref="AG61">IFERROR(INDEX(Table3[Facility ID], SMALL(IF($AG$57=Table3[Location (Country)], ROW(Table3[Facility ID])-Parameters!$W$42, ""), ROW()-57)), 0)</f>
        <v>0</v>
      </c>
      <c r="AH61">
        <f t="array" ref="AH61">IFERROR(INDEX(Table3[Facility ID], SMALL(IF($AH$57=Table3[Location (Country)], ROW(Table3[Facility ID])-Parameters!$W$42, ""), ROW()-57)), 0)</f>
        <v>0</v>
      </c>
    </row>
    <row r="62" spans="1:34" ht="15.75" customHeight="1">
      <c r="A62" s="311"/>
      <c r="C62" s="1009"/>
      <c r="D62" s="420"/>
      <c r="E62" s="776" t="s">
        <v>1439</v>
      </c>
      <c r="F62" s="772" cm="1">
        <f t="array" ref="F62">IF($D$55="Facility", SUMIFS(Purchased_Electricity[CO2e (tonnes)], Purchased_Electricity[Year], F18, Purchased_Electricity[Calculation Approach], Dropdowns!$S$3, Purchased_Electricity[Facility ID], C58), _xlfn.IFNA(IF($D$55="Country",SUMPRODUCT(SUMIFS(Purchased_Electricity[CO2e (tonnes)], Purchased_Electricity[Year], F18, Purchased_Electricity[Calculation Approach], Dropdowns!$S$3, Purchased_Electricity[Facility ID], Y58:Y67)),""), ""))</f>
        <v>0</v>
      </c>
      <c r="G62" s="772" cm="1">
        <f t="array" ref="G62">IF($D$55="Facility", SUMIFS(Purchased_Electricity[CO2e (tonnes)], Purchased_Electricity[Year], G18, Purchased_Electricity[Calculation Approach], Dropdowns!$S$3, Purchased_Electricity[Facility ID], C58), _xlfn.IFNA(IF($D$55="Country",SUMPRODUCT(SUMIFS(Purchased_Electricity[CO2e (tonnes)], Purchased_Electricity[Year], G18, Purchased_Electricity[Calculation Approach], Dropdowns!$S$3, Purchased_Electricity[Facility ID], Y58:Y67)),""), ""))</f>
        <v>0</v>
      </c>
      <c r="H62" s="772" cm="1">
        <f t="array" ref="H62">IF($D$55="Facility", SUMIFS(Purchased_Electricity[CO2e (tonnes)], Purchased_Electricity[Year], H18, Purchased_Electricity[Calculation Approach], Dropdowns!$S$3, Purchased_Electricity[Facility ID], C58), _xlfn.IFNA(IF($D$55="Country",SUMPRODUCT(SUMIFS(Purchased_Electricity[CO2e (tonnes)], Purchased_Electricity[Year], H18, Purchased_Electricity[Calculation Approach], Dropdowns!$S$3, Purchased_Electricity[Facility ID], Y58:Y67)),""), ""))</f>
        <v>0</v>
      </c>
      <c r="I62" s="772" cm="1">
        <f t="array" ref="I62">IF($D$55="Facility", SUMIFS(Purchased_Electricity[CO2e (tonnes)], Purchased_Electricity[Year], I18, Purchased_Electricity[Calculation Approach], Dropdowns!$S$3, Purchased_Electricity[Facility ID], C58), _xlfn.IFNA(IF($D$55="Country",SUMPRODUCT(SUMIFS(Purchased_Electricity[CO2e (tonnes)], Purchased_Electricity[Year], I18, Purchased_Electricity[Calculation Approach], Dropdowns!$S$3, Purchased_Electricity[Facility ID], Y58:Y67)),""), ""))</f>
        <v>0</v>
      </c>
      <c r="J62" s="772" cm="1">
        <f t="array" ref="J62">IF($D$55="Facility", SUMIFS(Purchased_Electricity[CO2e (tonnes)], Purchased_Electricity[Year], J18, Purchased_Electricity[Calculation Approach], Dropdowns!$S$3, Purchased_Electricity[Facility ID], C58), _xlfn.IFNA(IF($D$55="Country",SUMPRODUCT(SUMIFS(Purchased_Electricity[CO2e (tonnes)], Purchased_Electricity[Year], J18, Purchased_Electricity[Calculation Approach], Dropdowns!$S$3, Purchased_Electricity[Facility ID], Y58:Y67)),""), ""))</f>
        <v>0</v>
      </c>
      <c r="K62" s="777" cm="1">
        <f t="array" ref="K62">IF($D$55="Facility", SUMIFS(Purchased_Electricity[CO2e (tonnes)], Purchased_Electricity[Year], K18, Purchased_Electricity[Calculation Approach], Dropdowns!$S$3, Purchased_Electricity[Facility ID], C58), _xlfn.IFNA(IF($D$55="Country",SUMPRODUCT(SUMIFS(Purchased_Electricity[CO2e (tonnes)], Purchased_Electricity[Year], K18, Purchased_Electricity[Calculation Approach], Dropdowns!$S$3, Purchased_Electricity[Facility ID], Y58:Y67)),""), ""))</f>
        <v>0</v>
      </c>
      <c r="M62" s="894"/>
      <c r="V62" s="311"/>
      <c r="X62" t="e" cm="1">
        <f t="array" ref="X62">LOOKUP(2,1/(COUNTIF($J$35:X61,Table3[Location (Country)])=0),Table3[Location (Country)])</f>
        <v>#N/A</v>
      </c>
      <c r="Y62">
        <f t="array" ref="Y62">IFERROR(INDEX(Table3[Facility ID], SMALL(IF($Y$57=Table3[Location (Country)], ROW(Table3[Facility ID])-Parameters!$W$42, ""), ROW()-57)), 0)</f>
        <v>0</v>
      </c>
      <c r="Z62">
        <f t="array" ref="Z62">IFERROR(INDEX(Table3[Facility ID], SMALL(IF($Z$57=Table3[Location (Country)], ROW(Table3[Facility ID])-Parameters!$W$42, ""), ROW()-57)), 0)</f>
        <v>0</v>
      </c>
      <c r="AA62">
        <f t="array" ref="AA62">IFERROR(INDEX(Table3[Facility ID], SMALL(IF($AA$57=Table3[Location (Country)], ROW(Table3[Facility ID])-Parameters!$W$42, ""), ROW()-57)), 0)</f>
        <v>0</v>
      </c>
      <c r="AB62">
        <f t="array" ref="AB62">IFERROR(INDEX(Table3[Facility ID], SMALL(IF($AB$57=Table3[Location (Country)], ROW(Table3[Facility ID])-Parameters!$W$42, ""), ROW()-57)), 0)</f>
        <v>0</v>
      </c>
      <c r="AC62">
        <f t="array" ref="AC62">IFERROR(INDEX(Table3[Facility ID], SMALL(IF($AC$57=Table3[Location (Country)], ROW(Table3[Facility ID])-Parameters!$W$42, ""), ROW()-57)), 0)</f>
        <v>0</v>
      </c>
      <c r="AD62">
        <f t="array" ref="AD62">IFERROR(INDEX(Table3[Facility ID], SMALL(IF($AD$57=Table3[Location (Country)], ROW(Table3[Facility ID])-Parameters!$W$42, ""), ROW()-57)), 0)</f>
        <v>0</v>
      </c>
      <c r="AE62">
        <f t="array" ref="AE62">IFERROR(INDEX(Table3[Facility ID], SMALL(IF($AE$57=Table3[Location (Country)], ROW(Table3[Facility ID])-Parameters!$W$42, ""), ROW()-57)), 0)</f>
        <v>0</v>
      </c>
      <c r="AF62">
        <f t="array" ref="AF62">IFERROR(INDEX(Table3[Facility ID], SMALL(IF($AF$57=Table3[Location (Country)], ROW(Table3[Facility ID])-Parameters!$W$42, ""), ROW()-57)), 0)</f>
        <v>0</v>
      </c>
      <c r="AG62">
        <f t="array" ref="AG62">IFERROR(INDEX(Table3[Facility ID], SMALL(IF($AG$57=Table3[Location (Country)], ROW(Table3[Facility ID])-Parameters!$W$42, ""), ROW()-57)), 0)</f>
        <v>0</v>
      </c>
      <c r="AH62">
        <f t="array" ref="AH62">IFERROR(INDEX(Table3[Facility ID], SMALL(IF($AH$57=Table3[Location (Country)], ROW(Table3[Facility ID])-Parameters!$W$42, ""), ROW()-57)), 0)</f>
        <v>0</v>
      </c>
    </row>
    <row r="63" spans="1:34" ht="15.75" customHeight="1">
      <c r="A63" s="311"/>
      <c r="C63" s="1009"/>
      <c r="D63" s="422"/>
      <c r="E63" s="423" t="s">
        <v>1440</v>
      </c>
      <c r="F63" s="773" cm="1">
        <f t="array" ref="F63">IF($D$55="Facility", SUMIFS(Purchased_Electricity[CO2e (tonnes)], Purchased_Electricity[Year], F18, Purchased_Electricity[Calculation Approach], Dropdowns!$S$4, Purchased_Electricity[Facility ID], C58), _xlfn.IFNA(IF($D$55="Country",SUMPRODUCT(SUMIFS(Purchased_Electricity[CO2e (tonnes)], Purchased_Electricity[Year], F18, Purchased_Electricity[Calculation Approach], Dropdowns!$S$4, Purchased_Electricity[Facility ID], Y58:Y67)),""), ""))</f>
        <v>0</v>
      </c>
      <c r="G63" s="773" cm="1">
        <f t="array" ref="G63">IF($D$55="Facility", SUMIFS(Purchased_Electricity[CO2e (tonnes)], Purchased_Electricity[Year], G18, Purchased_Electricity[Calculation Approach], Dropdowns!$S$4, Purchased_Electricity[Facility ID], C58), _xlfn.IFNA(IF($D$55="Country",SUMPRODUCT(SUMIFS(Purchased_Electricity[CO2e (tonnes)], Purchased_Electricity[Year], G18, Purchased_Electricity[Calculation Approach], Dropdowns!$S$4, Purchased_Electricity[Facility ID], Y58:Y67)),""), ""))</f>
        <v>0</v>
      </c>
      <c r="H63" s="773" cm="1">
        <f t="array" ref="H63">IF($D$55="Facility", SUMIFS(Purchased_Electricity[CO2e (tonnes)], Purchased_Electricity[Year], H18, Purchased_Electricity[Calculation Approach], Dropdowns!$S$4, Purchased_Electricity[Facility ID], C58), _xlfn.IFNA(IF($D$55="Country",SUMPRODUCT(SUMIFS(Purchased_Electricity[CO2e (tonnes)], Purchased_Electricity[Year], H18, Purchased_Electricity[Calculation Approach], Dropdowns!$S$4, Purchased_Electricity[Facility ID], Y58:Y67)),""), ""))</f>
        <v>0</v>
      </c>
      <c r="I63" s="773" cm="1">
        <f t="array" ref="I63">IF($D$55="Facility", SUMIFS(Purchased_Electricity[CO2e (tonnes)], Purchased_Electricity[Year], I18, Purchased_Electricity[Calculation Approach], Dropdowns!$S$4, Purchased_Electricity[Facility ID], C58), _xlfn.IFNA(IF($D$55="Country",SUMPRODUCT(SUMIFS(Purchased_Electricity[CO2e (tonnes)], Purchased_Electricity[Year], I18, Purchased_Electricity[Calculation Approach], Dropdowns!$S$4, Purchased_Electricity[Facility ID], Y58:Y67)),""), ""))</f>
        <v>0</v>
      </c>
      <c r="J63" s="773" cm="1">
        <f t="array" ref="J63">IF($D$55="Facility", SUMIFS(Purchased_Electricity[CO2e (tonnes)], Purchased_Electricity[Year], J18, Purchased_Electricity[Calculation Approach], Dropdowns!$S$4, Purchased_Electricity[Facility ID], C58), _xlfn.IFNA(IF($D$55="Country",SUMPRODUCT(SUMIFS(Purchased_Electricity[CO2e (tonnes)], Purchased_Electricity[Year], J18, Purchased_Electricity[Calculation Approach], Dropdowns!$S$4, Purchased_Electricity[Facility ID], Y58:Y67)),""), ""))</f>
        <v>0</v>
      </c>
      <c r="K63" s="778" cm="1">
        <f t="array" ref="K63">IF($D$55="Facility", SUMIFS(Purchased_Electricity[CO2e (tonnes)], Purchased_Electricity[Year], K18, Purchased_Electricity[Calculation Approach], Dropdowns!$S$4, Purchased_Electricity[Facility ID], C58), _xlfn.IFNA(IF($D$55="Country",SUMPRODUCT(SUMIFS(Purchased_Electricity[CO2e (tonnes)], Purchased_Electricity[Year], K18, Purchased_Electricity[Calculation Approach], Dropdowns!$S$4, Purchased_Electricity[Facility ID], Y58:Y67)),""), ""))</f>
        <v>0</v>
      </c>
      <c r="V63" s="311"/>
      <c r="X63" t="e" cm="1">
        <f t="array" ref="X63">LOOKUP(2,1/(COUNTIF($J$35:X62,Table3[Location (Country)])=0),Table3[Location (Country)])</f>
        <v>#N/A</v>
      </c>
      <c r="Y63">
        <f t="array" ref="Y63">IFERROR(INDEX(Table3[Facility ID], SMALL(IF($Y$57=Table3[Location (Country)], ROW(Table3[Facility ID])-Parameters!$W$42, ""), ROW()-57)), 0)</f>
        <v>0</v>
      </c>
      <c r="Z63">
        <f t="array" ref="Z63">IFERROR(INDEX(Table3[Facility ID], SMALL(IF($Z$57=Table3[Location (Country)], ROW(Table3[Facility ID])-Parameters!$W$42, ""), ROW()-57)), 0)</f>
        <v>0</v>
      </c>
      <c r="AA63">
        <f t="array" ref="AA63">IFERROR(INDEX(Table3[Facility ID], SMALL(IF($AA$57=Table3[Location (Country)], ROW(Table3[Facility ID])-Parameters!$W$42, ""), ROW()-57)), 0)</f>
        <v>0</v>
      </c>
      <c r="AB63">
        <f t="array" ref="AB63">IFERROR(INDEX(Table3[Facility ID], SMALL(IF($AB$57=Table3[Location (Country)], ROW(Table3[Facility ID])-Parameters!$W$42, ""), ROW()-57)), 0)</f>
        <v>0</v>
      </c>
      <c r="AC63">
        <f t="array" ref="AC63">IFERROR(INDEX(Table3[Facility ID], SMALL(IF($AC$57=Table3[Location (Country)], ROW(Table3[Facility ID])-Parameters!$W$42, ""), ROW()-57)), 0)</f>
        <v>0</v>
      </c>
      <c r="AD63">
        <f t="array" ref="AD63">IFERROR(INDEX(Table3[Facility ID], SMALL(IF($AD$57=Table3[Location (Country)], ROW(Table3[Facility ID])-Parameters!$W$42, ""), ROW()-57)), 0)</f>
        <v>0</v>
      </c>
      <c r="AE63">
        <f t="array" ref="AE63">IFERROR(INDEX(Table3[Facility ID], SMALL(IF($AE$57=Table3[Location (Country)], ROW(Table3[Facility ID])-Parameters!$W$42, ""), ROW()-57)), 0)</f>
        <v>0</v>
      </c>
      <c r="AF63">
        <f t="array" ref="AF63">IFERROR(INDEX(Table3[Facility ID], SMALL(IF($AF$57=Table3[Location (Country)], ROW(Table3[Facility ID])-Parameters!$W$42, ""), ROW()-57)), 0)</f>
        <v>0</v>
      </c>
      <c r="AG63">
        <f t="array" ref="AG63">IFERROR(INDEX(Table3[Facility ID], SMALL(IF($AG$57=Table3[Location (Country)], ROW(Table3[Facility ID])-Parameters!$W$42, ""), ROW()-57)), 0)</f>
        <v>0</v>
      </c>
      <c r="AH63">
        <f t="array" ref="AH63">IFERROR(INDEX(Table3[Facility ID], SMALL(IF($AH$57=Table3[Location (Country)], ROW(Table3[Facility ID])-Parameters!$W$42, ""), ROW()-57)), 0)</f>
        <v>0</v>
      </c>
    </row>
    <row r="64" spans="1:34" ht="15.75" customHeight="1" thickBot="1">
      <c r="A64" s="311"/>
      <c r="C64" s="1010"/>
      <c r="D64" s="704" t="s">
        <v>1430</v>
      </c>
      <c r="E64" s="705"/>
      <c r="F64" s="775" cm="1">
        <f t="array" ref="F64">IF($D$55="Facility", SUM(SUMIFS(Stationary_Combustion[Biofuel CO2
(tonnes)], Stationary_Combustion[Year], F18, Stationary_Combustion[Facility ID], C58), SUMIFS(Table13[[#All],[Column15]], Table13[[#All],[Column1]], F18, Table13[[#All],[Column3]], C58)),_xlfn.IFNA(IF($D$55="Country",SUM(SUMPRODUCT(SUMIFS(Stationary_Combustion[Biofuel CO2
(tonnes)], Stationary_Combustion[Year], F18,  Stationary_Combustion[Facility ID], Y58:Y67)), SUMPRODUCT(SUMIFS(Table13[[#All],[Column15]], Table13[[#All],[Column1]], F18, Table13[[#All],[Column3]], Y58:Y67))),""), ""))</f>
        <v>0</v>
      </c>
      <c r="G64" s="775" cm="1">
        <f t="array" ref="G64">IF($D$55="Facility", SUM(SUMIFS(Stationary_Combustion[Biofuel CO2
(tonnes)], Stationary_Combustion[Year], G18, Stationary_Combustion[Facility ID], C58), SUMIFS(Table13[[#All],[Column15]], Table13[[#All],[Column1]], G18, Table13[[#All],[Column3]], C58)),_xlfn.IFNA(IF($D$55="Country",SUM(SUMPRODUCT(SUMIFS(Stationary_Combustion[Biofuel CO2
(tonnes)], Stationary_Combustion[Year], G18,  Stationary_Combustion[Facility ID], Y58:Y67)), SUMPRODUCT(SUMIFS(Table13[[#All],[Column15]], Table13[[#All],[Column1]], G18, Table13[[#All],[Column3]], Y58:Y67))),""), ""))</f>
        <v>0</v>
      </c>
      <c r="H64" s="775" cm="1">
        <f t="array" ref="H64">IF($D$55="Facility", SUM(SUMIFS(Stationary_Combustion[Biofuel CO2
(tonnes)], Stationary_Combustion[Year], H18, Stationary_Combustion[Facility ID], C58), SUMIFS(Table13[[#All],[Column15]], Table13[[#All],[Column1]], H18, Table13[[#All],[Column3]], C58)),_xlfn.IFNA(IF($D$55="Country",SUM(SUMPRODUCT(SUMIFS(Stationary_Combustion[Biofuel CO2
(tonnes)], Stationary_Combustion[Year], H18,  Stationary_Combustion[Facility ID], Y58:Y67)), SUMPRODUCT(SUMIFS(Table13[[#All],[Column15]], Table13[[#All],[Column1]], H18, Table13[[#All],[Column3]], Y58:Y67))),""), ""))</f>
        <v>0</v>
      </c>
      <c r="I64" s="775" cm="1">
        <f t="array" ref="I64">IF($D$55="Facility", SUM(SUMIFS(Stationary_Combustion[Biofuel CO2
(tonnes)], Stationary_Combustion[Year], I18, Stationary_Combustion[Facility ID], C58), SUMIFS(Table13[[#All],[Column15]], Table13[[#All],[Column1]], I18, Table13[[#All],[Column3]], C58)),_xlfn.IFNA(IF($D$55="Country",SUM(SUMPRODUCT(SUMIFS(Stationary_Combustion[Biofuel CO2
(tonnes)], Stationary_Combustion[Year], I18,  Stationary_Combustion[Facility ID], Y58:Y67)), SUMPRODUCT(SUMIFS(Table13[[#All],[Column15]], Table13[[#All],[Column1]], I18, Table13[[#All],[Column3]], Y58:Y67))),""), ""))</f>
        <v>0</v>
      </c>
      <c r="J64" s="775" cm="1">
        <f t="array" ref="J64">IF($D$55="Facility", SUM(SUMIFS(Stationary_Combustion[Biofuel CO2
(tonnes)], Stationary_Combustion[Year], J18, Stationary_Combustion[Facility ID], C58), SUMIFS(Table13[[#All],[Column15]], Table13[[#All],[Column1]], J18, Table13[[#All],[Column3]], C58)),_xlfn.IFNA(IF($D$55="Country",SUM(SUMPRODUCT(SUMIFS(Stationary_Combustion[Biofuel CO2
(tonnes)], Stationary_Combustion[Year], J18,  Stationary_Combustion[Facility ID], Y58:Y67)), SUMPRODUCT(SUMIFS(Table13[[#All],[Column15]], Table13[[#All],[Column1]], J18, Table13[[#All],[Column3]], Y58:Y67))),""), ""))</f>
        <v>0</v>
      </c>
      <c r="K64" s="780" cm="1">
        <f t="array" ref="K64">IF($D$55="Facility", SUM(SUMIFS(Stationary_Combustion[Biofuel CO2
(tonnes)], Stationary_Combustion[Year], K18, Stationary_Combustion[Facility ID], C58), SUMIFS(Table13[[#All],[Column15]], Table13[[#All],[Column1]], K18, Table13[[#All],[Column3]], C58)),_xlfn.IFNA(IF($D$55="Country",SUM(SUMPRODUCT(SUMIFS(Stationary_Combustion[Biofuel CO2
(tonnes)], Stationary_Combustion[Year], K18,  Stationary_Combustion[Facility ID], Y58:Y67)), SUMPRODUCT(SUMIFS(Table13[[#All],[Column15]], Table13[[#All],[Column1]], K18, Table13[[#All],[Column3]], Y58:Y67))),""), ""))</f>
        <v>0</v>
      </c>
      <c r="M64" s="894"/>
      <c r="V64" s="311"/>
      <c r="X64" t="e">
        <f>LOOKUP(2,1/(COUNTIF($J$35:X63,Table3[Location (Country)])=0),Table3[Location (Country)])</f>
        <v>#N/A</v>
      </c>
      <c r="Y64">
        <f t="array" ref="Y64">IFERROR(INDEX(Table3[Facility ID], SMALL(IF($Y$57=Table3[Location (Country)], ROW(Table3[Facility ID])-Parameters!$W$42, ""), ROW()-57)), 0)</f>
        <v>0</v>
      </c>
      <c r="Z64">
        <f t="array" ref="Z64">IFERROR(INDEX(Table3[Facility ID], SMALL(IF($Z$57=Table3[Location (Country)], ROW(Table3[Facility ID])-Parameters!$W$42, ""), ROW()-57)), 0)</f>
        <v>0</v>
      </c>
      <c r="AA64">
        <f t="array" ref="AA64">IFERROR(INDEX(Table3[Facility ID], SMALL(IF($AA$57=Table3[Location (Country)], ROW(Table3[Facility ID])-Parameters!$W$42, ""), ROW()-57)), 0)</f>
        <v>0</v>
      </c>
      <c r="AB64">
        <f t="array" ref="AB64">IFERROR(INDEX(Table3[Facility ID], SMALL(IF($AB$57=Table3[Location (Country)], ROW(Table3[Facility ID])-Parameters!$W$42, ""), ROW()-57)), 0)</f>
        <v>0</v>
      </c>
      <c r="AC64">
        <f t="array" ref="AC64">IFERROR(INDEX(Table3[Facility ID], SMALL(IF($AC$57=Table3[Location (Country)], ROW(Table3[Facility ID])-Parameters!$W$42, ""), ROW()-57)), 0)</f>
        <v>0</v>
      </c>
      <c r="AD64">
        <f t="array" ref="AD64">IFERROR(INDEX(Table3[Facility ID], SMALL(IF($AD$57=Table3[Location (Country)], ROW(Table3[Facility ID])-Parameters!$W$42, ""), ROW()-57)), 0)</f>
        <v>0</v>
      </c>
      <c r="AE64">
        <f t="array" ref="AE64">IFERROR(INDEX(Table3[Facility ID], SMALL(IF($AE$57=Table3[Location (Country)], ROW(Table3[Facility ID])-Parameters!$W$42, ""), ROW()-57)), 0)</f>
        <v>0</v>
      </c>
      <c r="AF64">
        <f t="array" ref="AF64">IFERROR(INDEX(Table3[Facility ID], SMALL(IF($AF$57=Table3[Location (Country)], ROW(Table3[Facility ID])-Parameters!$W$42, ""), ROW()-57)), 0)</f>
        <v>0</v>
      </c>
      <c r="AG64">
        <f t="array" ref="AG64">IFERROR(INDEX(Table3[Facility ID], SMALL(IF($AG$57=Table3[Location (Country)], ROW(Table3[Facility ID])-Parameters!$W$42, ""), ROW()-57)), 0)</f>
        <v>0</v>
      </c>
      <c r="AH64">
        <f t="array" ref="AH64">IFERROR(INDEX(Table3[Facility ID], SMALL(IF($AH$57=Table3[Location (Country)], ROW(Table3[Facility ID])-Parameters!$W$42, ""), ROW()-57)), 0)</f>
        <v>0</v>
      </c>
    </row>
    <row r="65" spans="1:34" ht="18.75">
      <c r="A65" s="311"/>
      <c r="C65" s="999">
        <f>IF($D$55="Facility",Parameters!F44,_xlfn.IFNA(IF($D$55="Country",X59,""),""))</f>
        <v>2</v>
      </c>
      <c r="D65" s="697" t="s">
        <v>95</v>
      </c>
      <c r="E65" s="698" t="s">
        <v>88</v>
      </c>
      <c r="F65" s="781" cm="1">
        <f t="array" ref="F65">IF($D$55="Facility", SUMIFS(Stationary_Combustion[CO2e (tonnes)], Stationary_Combustion[Year], F18, Stationary_Combustion[Facility ID], C65),_xlfn.IFNA(IF($D$55="Country",SUMPRODUCT(SUMIFS(Stationary_Combustion[CO2e (tonnes)], Stationary_Combustion[Year], F18, Stationary_Combustion[Facility ID], Z58:Z67)),""), ""))</f>
        <v>0</v>
      </c>
      <c r="G65" s="781" cm="1">
        <f t="array" ref="G65">IF($D$55="Facility", SUMIFS(Stationary_Combustion[CO2e (tonnes)], Stationary_Combustion[Year], G18, Stationary_Combustion[Facility ID], C65),_xlfn.IFNA(IF($D$55="Country",SUMPRODUCT(SUMIFS(Stationary_Combustion[CO2e (tonnes)], Stationary_Combustion[Year], G18, Stationary_Combustion[Facility ID], Z58:Z67)),""), ""))</f>
        <v>0</v>
      </c>
      <c r="H65" s="781" cm="1">
        <f t="array" ref="H65">IF($D$55="Facility", SUMIFS(Stationary_Combustion[CO2e (tonnes)], Stationary_Combustion[Year], H18, Stationary_Combustion[Facility ID], C65),_xlfn.IFNA(IF($D$55="Country",SUMPRODUCT(SUMIFS(Stationary_Combustion[CO2e (tonnes)], Stationary_Combustion[Year], H18, Stationary_Combustion[Facility ID], Z58:Z67)),""), ""))</f>
        <v>0</v>
      </c>
      <c r="I65" s="781" cm="1">
        <f t="array" ref="I65">IF($D$55="Facility", SUMIFS(Stationary_Combustion[CO2e (tonnes)], Stationary_Combustion[Year], I18, Stationary_Combustion[Facility ID], C65),_xlfn.IFNA(IF($D$55="Country",SUMPRODUCT(SUMIFS(Stationary_Combustion[CO2e (tonnes)], Stationary_Combustion[Year], I18, Stationary_Combustion[Facility ID], Z58:Z67)),""), ""))</f>
        <v>0</v>
      </c>
      <c r="J65" s="781" cm="1">
        <f t="array" ref="J65">IF($D$55="Facility", SUMIFS(Stationary_Combustion[CO2e (tonnes)], Stationary_Combustion[Year], J18, Stationary_Combustion[Facility ID], C65),_xlfn.IFNA(IF($D$55="Country",SUMPRODUCT(SUMIFS(Stationary_Combustion[CO2e (tonnes)], Stationary_Combustion[Year], J18, Stationary_Combustion[Facility ID], Z58:Z67)),""), ""))</f>
        <v>0</v>
      </c>
      <c r="K65" s="782" cm="1">
        <f t="array" ref="K65">IF($D$55="Facility", SUMIFS(Stationary_Combustion[CO2e (tonnes)], Stationary_Combustion[Year], K18, Stationary_Combustion[Facility ID], C65),_xlfn.IFNA(IF($D$55="Country",SUMPRODUCT(SUMIFS(Stationary_Combustion[CO2e (tonnes)], Stationary_Combustion[Year], K18, Stationary_Combustion[Facility ID], Z58:Z67)),""), ""))</f>
        <v>0</v>
      </c>
      <c r="M65" s="894"/>
      <c r="V65" s="311"/>
      <c r="X65" t="e">
        <f>LOOKUP(2,1/(COUNTIF($J$35:X64,Table3[Location (Country)])=0),Table3[Location (Country)])</f>
        <v>#N/A</v>
      </c>
      <c r="Y65">
        <f t="array" ref="Y65">IFERROR(INDEX(Table3[Facility ID], SMALL(IF($Y$57=Table3[Location (Country)], ROW(Table3[Facility ID])-Parameters!$W$42, ""), ROW()-57)), 0)</f>
        <v>0</v>
      </c>
      <c r="Z65">
        <f t="array" ref="Z65">IFERROR(INDEX(Table3[Facility ID], SMALL(IF($Z$57=Table3[Location (Country)], ROW(Table3[Facility ID])-Parameters!$W$42, ""), ROW()-57)), 0)</f>
        <v>0</v>
      </c>
      <c r="AA65">
        <f t="array" ref="AA65">IFERROR(INDEX(Table3[Facility ID], SMALL(IF($AA$57=Table3[Location (Country)], ROW(Table3[Facility ID])-Parameters!$W$42, ""), ROW()-57)), 0)</f>
        <v>0</v>
      </c>
      <c r="AB65">
        <f t="array" ref="AB65">IFERROR(INDEX(Table3[Facility ID], SMALL(IF($AB$57=Table3[Location (Country)], ROW(Table3[Facility ID])-Parameters!$W$42, ""), ROW()-57)), 0)</f>
        <v>0</v>
      </c>
      <c r="AC65">
        <f t="array" ref="AC65">IFERROR(INDEX(Table3[Facility ID], SMALL(IF($AC$57=Table3[Location (Country)], ROW(Table3[Facility ID])-Parameters!$W$42, ""), ROW()-57)), 0)</f>
        <v>0</v>
      </c>
      <c r="AD65">
        <f t="array" ref="AD65">IFERROR(INDEX(Table3[Facility ID], SMALL(IF($AD$57=Table3[Location (Country)], ROW(Table3[Facility ID])-Parameters!$W$42, ""), ROW()-57)), 0)</f>
        <v>0</v>
      </c>
      <c r="AE65">
        <f t="array" ref="AE65">IFERROR(INDEX(Table3[Facility ID], SMALL(IF($AE$57=Table3[Location (Country)], ROW(Table3[Facility ID])-Parameters!$W$42, ""), ROW()-57)), 0)</f>
        <v>0</v>
      </c>
      <c r="AF65">
        <f t="array" ref="AF65">IFERROR(INDEX(Table3[Facility ID], SMALL(IF($AF$57=Table3[Location (Country)], ROW(Table3[Facility ID])-Parameters!$W$42, ""), ROW()-57)), 0)</f>
        <v>0</v>
      </c>
      <c r="AG65">
        <f t="array" ref="AG65">IFERROR(INDEX(Table3[Facility ID], SMALL(IF($AG$57=Table3[Location (Country)], ROW(Table3[Facility ID])-Parameters!$W$42, ""), ROW()-57)), 0)</f>
        <v>0</v>
      </c>
      <c r="AH65">
        <f t="array" ref="AH65">IFERROR(INDEX(Table3[Facility ID], SMALL(IF($AH$57=Table3[Location (Country)], ROW(Table3[Facility ID])-Parameters!$W$42, ""), ROW()-57)), 0)</f>
        <v>0</v>
      </c>
    </row>
    <row r="66" spans="1:34" ht="18.75">
      <c r="A66" s="311"/>
      <c r="C66" s="1000"/>
      <c r="D66" s="699"/>
      <c r="E66" s="421" t="s">
        <v>89</v>
      </c>
      <c r="F66" s="772" cm="1">
        <f t="array" ref="F66">IF($D$55="Facility", SUMIFS(Table13[[#All],[Column14]], Table13[[#All],[Column1]], F18, Table13[[#All],[Column3]], C65),_xlfn.IFNA(IF($D$55="Country",SUMPRODUCT(SUMIFS(Table13[[#All],[Column14]], Table13[[#All],[Column1]], F18, Table13[[#All],[Column3]], Z58:Z67)),""), ""))</f>
        <v>0</v>
      </c>
      <c r="G66" s="772" cm="1">
        <f t="array" ref="G66">IF($D$55="Facility", SUMIFS(Table13[[#All],[Column14]], Table13[[#All],[Column1]], G18, Table13[[#All],[Column3]], C65),_xlfn.IFNA(IF($D$55="Country",SUMPRODUCT(SUMIFS(Table13[[#All],[Column14]], Table13[[#All],[Column1]], G18, Table13[[#All],[Column3]], Z58:Z67)),""), ""))</f>
        <v>0</v>
      </c>
      <c r="H66" s="772" cm="1">
        <f t="array" ref="H66">IF($D$55="Facility", SUMIFS(Table13[[#All],[Column14]], Table13[[#All],[Column1]], H18, Table13[[#All],[Column3]], C65),_xlfn.IFNA(IF($D$55="Country",SUMPRODUCT(SUMIFS(Table13[[#All],[Column14]], Table13[[#All],[Column1]], H18, Table13[[#All],[Column3]], Z58:Z67)),""), ""))</f>
        <v>0</v>
      </c>
      <c r="I66" s="772" cm="1">
        <f t="array" ref="I66">IF($D$55="Facility", SUMIFS(Table13[[#All],[Column14]], Table13[[#All],[Column1]], I18, Table13[[#All],[Column3]], C65),_xlfn.IFNA(IF($D$55="Country",SUMPRODUCT(SUMIFS(Table13[[#All],[Column14]], Table13[[#All],[Column1]], I18, Table13[[#All],[Column3]], Z58:Z67)),""), ""))</f>
        <v>0</v>
      </c>
      <c r="J66" s="772" cm="1">
        <f t="array" ref="J66">IF($D$55="Facility", SUMIFS(Table13[[#All],[Column14]], Table13[[#All],[Column1]], J18, Table13[[#All],[Column3]], C65),_xlfn.IFNA(IF($D$55="Country",SUMPRODUCT(SUMIFS(Table13[[#All],[Column14]], Table13[[#All],[Column1]], J18, Table13[[#All],[Column3]], Z58:Z67)),""), ""))</f>
        <v>0</v>
      </c>
      <c r="K66" s="777" cm="1">
        <f t="array" ref="K66">IF($D$55="Facility", SUMIFS(Table13[[#All],[Column14]], Table13[[#All],[Column1]], K18, Table13[[#All],[Column3]], C65),_xlfn.IFNA(IF($D$55="Country",SUMPRODUCT(SUMIFS(Table13[[#All],[Column14]], Table13[[#All],[Column1]], K18, Table13[[#All],[Column3]], Z58:Z67)),""), ""))</f>
        <v>0</v>
      </c>
      <c r="M66" s="894"/>
      <c r="V66" s="311"/>
      <c r="X66" t="e">
        <f>LOOKUP(2,1/(COUNTIF($J$35:X65,Table3[Location (Country)])=0),Table3[Location (Country)])</f>
        <v>#N/A</v>
      </c>
      <c r="Y66">
        <f t="array" ref="Y66">IFERROR(INDEX(Table3[Facility ID], SMALL(IF($Y$57=Table3[Location (Country)], ROW(Table3[Facility ID])-Parameters!$W$42, ""), ROW()-57)), 0)</f>
        <v>0</v>
      </c>
      <c r="Z66">
        <f t="array" ref="Z66">IFERROR(INDEX(Table3[Facility ID], SMALL(IF($Z$57=Table3[Location (Country)], ROW(Table3[Facility ID])-Parameters!$W$42, ""), ROW()-57)), 0)</f>
        <v>0</v>
      </c>
      <c r="AA66">
        <f t="array" ref="AA66">IFERROR(INDEX(Table3[Facility ID], SMALL(IF($AA$57=Table3[Location (Country)], ROW(Table3[Facility ID])-Parameters!$W$42, ""), ROW()-57)), 0)</f>
        <v>0</v>
      </c>
      <c r="AB66">
        <f t="array" ref="AB66">IFERROR(INDEX(Table3[Facility ID], SMALL(IF($AB$57=Table3[Location (Country)], ROW(Table3[Facility ID])-Parameters!$W$42, ""), ROW()-57)), 0)</f>
        <v>0</v>
      </c>
      <c r="AC66">
        <f t="array" ref="AC66">IFERROR(INDEX(Table3[Facility ID], SMALL(IF($AC$57=Table3[Location (Country)], ROW(Table3[Facility ID])-Parameters!$W$42, ""), ROW()-57)), 0)</f>
        <v>0</v>
      </c>
      <c r="AD66">
        <f t="array" ref="AD66">IFERROR(INDEX(Table3[Facility ID], SMALL(IF($AD$57=Table3[Location (Country)], ROW(Table3[Facility ID])-Parameters!$W$42, ""), ROW()-57)), 0)</f>
        <v>0</v>
      </c>
      <c r="AE66">
        <f t="array" ref="AE66">IFERROR(INDEX(Table3[Facility ID], SMALL(IF($AE$57=Table3[Location (Country)], ROW(Table3[Facility ID])-Parameters!$W$42, ""), ROW()-57)), 0)</f>
        <v>0</v>
      </c>
      <c r="AF66">
        <f t="array" ref="AF66">IFERROR(INDEX(Table3[Facility ID], SMALL(IF($AF$57=Table3[Location (Country)], ROW(Table3[Facility ID])-Parameters!$W$42, ""), ROW()-57)), 0)</f>
        <v>0</v>
      </c>
      <c r="AG66">
        <f t="array" ref="AG66">IFERROR(INDEX(Table3[Facility ID], SMALL(IF($AG$57=Table3[Location (Country)], ROW(Table3[Facility ID])-Parameters!$W$42, ""), ROW()-57)), 0)</f>
        <v>0</v>
      </c>
      <c r="AH66">
        <f t="array" ref="AH66">IFERROR(INDEX(Table3[Facility ID], SMALL(IF($AH$57=Table3[Location (Country)], ROW(Table3[Facility ID])-Parameters!$W$42, ""), ROW()-57)), 0)</f>
        <v>0</v>
      </c>
    </row>
    <row r="67" spans="1:34" ht="18.75">
      <c r="A67" s="311"/>
      <c r="C67" s="1000"/>
      <c r="D67" s="701"/>
      <c r="E67" s="423" t="s">
        <v>1437</v>
      </c>
      <c r="F67" s="773" cm="1">
        <f t="array" ref="F67">IF($D$55="Facility", SUM(SUMIFS('S1-Refrigerants'!$P$35:$P$52, 'S1-Refrigerants'!$B$35:$B$52, F18, 'S1-Refrigerants'!$C$35:$C$52, C65), SUMIFS('S1-Refrigerants'!$U$65:$U$82, 'S1-Refrigerants'!$B$65:$B$82, F18, 'S1-Refrigerants'!$C$65:$C$82, C65), SUMIFS('S1-Refrigerants'!$O$95:$O$112, 'S1-Refrigerants'!$B$95:$B$112, F18, 'S1-Refrigerants'!$C$95:$C$112, C65)), _xlfn.IFNA(IF($D$55="Country", SUM(SUMPRODUCT(SUMIFS('S1-Refrigerants'!$P$35:$P$52, 'S1-Refrigerants'!$B$35:$B$52, F18, 'S1-Refrigerants'!$C$35:$C$52, Z58:Z67)), SUMPRODUCT(SUMIFS('S1-Refrigerants'!$U$65:$U$82, 'S1-Refrigerants'!$B$65:$B$82, F18, 'S1-Refrigerants'!$C$65:$C$82, Z58:Z67)), SUMPRODUCT(SUMIFS('S1-Refrigerants'!$O$95:$O$112, 'S1-Refrigerants'!$B$95:$B$112, F18, 'S1-Refrigerants'!$C$95:$C$112, Z58:Z67)))),""))</f>
        <v>0</v>
      </c>
      <c r="G67" s="773" cm="1">
        <f t="array" ref="G67">IF($D$55="Facility", SUM(SUMIFS('S1-Refrigerants'!P35:P52, 'S1-Refrigerants'!$B$35:$B$52, G18, 'S1-Refrigerants'!$C$35:$C$52, C65), SUMIFS('S1-Refrigerants'!U65:U82, 'S1-Refrigerants'!$B$65:$B$82, G18, 'S1-Refrigerants'!$C$65:$C$82, C65), SUMIFS('S1-Refrigerants'!O95:O112, 'S1-Refrigerants'!$B$95:$B$112, G18, 'S1-Refrigerants'!$C$95:$C$112, C65)), _xlfn.IFNA(IF($D$55="Country", SUM(SUMPRODUCT(SUMIFS('S1-Refrigerants'!$P$35:$P$52, 'S1-Refrigerants'!$B$35:$B$52, G18, 'S1-Refrigerants'!$C$35:$C$52, Z58:Z67)), SUMPRODUCT(SUMIFS('S1-Refrigerants'!$U$65:$U$82, 'S1-Refrigerants'!$B$65:$B$82, G18, 'S1-Refrigerants'!$C$65:$C$82, Z58:Z67)), SUMPRODUCT(SUMIFS('S1-Refrigerants'!$O$95:$O$112, 'S1-Refrigerants'!$B$95:$B$112, G18, 'S1-Refrigerants'!$C$95:$C$112, Z58:Z67)))),""))</f>
        <v>0</v>
      </c>
      <c r="H67" s="773" cm="1">
        <f t="array" ref="H67">IF($D$55="Facility", SUM(SUMIFS('S1-Refrigerants'!P35:P52, 'S1-Refrigerants'!$B$35:$B$52, H18, 'S1-Refrigerants'!$C$35:$C$52, C65), SUMIFS('S1-Refrigerants'!U65:U82, 'S1-Refrigerants'!$B$65:$B$82, H18, 'S1-Refrigerants'!$C$65:$C$82, C65), SUMIFS('S1-Refrigerants'!O95:O112, 'S1-Refrigerants'!$B$95:$B$112, H18, 'S1-Refrigerants'!$C$95:$C$112, C65)), _xlfn.IFNA(IF($D$55="Country", SUM(SUMPRODUCT(SUMIFS('S1-Refrigerants'!$P$35:$P$52, 'S1-Refrigerants'!$B$35:$B$52, H18, 'S1-Refrigerants'!$C$35:$C$52, Z58:Z67)), SUMPRODUCT(SUMIFS('S1-Refrigerants'!$U$65:$U$82, 'S1-Refrigerants'!$B$65:$B$82, H18, 'S1-Refrigerants'!$C$65:$C$82, Z58:Z67)), SUMPRODUCT(SUMIFS('S1-Refrigerants'!$O$95:$O$112, 'S1-Refrigerants'!$B$95:$B$112, H18, 'S1-Refrigerants'!$C$95:$C$112, Z58:Z67)))),""))</f>
        <v>0</v>
      </c>
      <c r="I67" s="773" cm="1">
        <f t="array" ref="I67">IF($D$55="Facility", SUM(SUMIFS('S1-Refrigerants'!P35:P52, 'S1-Refrigerants'!$B$35:$B$52, I18, 'S1-Refrigerants'!$C$35:$C$52, C65), SUMIFS('S1-Refrigerants'!U65:U82, 'S1-Refrigerants'!$B$65:$B$82, I18, 'S1-Refrigerants'!$C$65:$C$82, C65), SUMIFS('S1-Refrigerants'!O95:O112, 'S1-Refrigerants'!$B$95:$B$112, I18, 'S1-Refrigerants'!$C$95:$C$112, C65)), _xlfn.IFNA(IF($D$55="Country", SUM(SUMPRODUCT(SUMIFS('S1-Refrigerants'!$P$35:$P$52, 'S1-Refrigerants'!$B$35:$B$52, I18, 'S1-Refrigerants'!$C$35:$C$52, Z58:Z67)), SUMPRODUCT(SUMIFS('S1-Refrigerants'!$U$65:$U$82, 'S1-Refrigerants'!$B$65:$B$82, I18, 'S1-Refrigerants'!$C$65:$C$82, Z58:Z67)), SUMPRODUCT(SUMIFS('S1-Refrigerants'!$O$95:$O$112, 'S1-Refrigerants'!$B$95:$B$112, I18, 'S1-Refrigerants'!$C$95:$C$112, Z58:Z67)))),""))</f>
        <v>0</v>
      </c>
      <c r="J67" s="773" cm="1">
        <f t="array" ref="J67">IF($D$55="Facility", SUM(SUMIFS('S1-Refrigerants'!P35:P52, 'S1-Refrigerants'!$B$35:$B$52, J18, 'S1-Refrigerants'!$C$35:$C$52, C65), SUMIFS('S1-Refrigerants'!U65:U82, 'S1-Refrigerants'!$B$65:$B$82, J18, 'S1-Refrigerants'!$C$65:$C$82, C65), SUMIFS('S1-Refrigerants'!O95:O112, 'S1-Refrigerants'!$B$95:$B$112, J18, 'S1-Refrigerants'!$C$95:$C$112, C65)), _xlfn.IFNA(IF($D$55="Country", SUM(SUMPRODUCT(SUMIFS('S1-Refrigerants'!$P$35:$P$52, 'S1-Refrigerants'!$B$35:$B$52, J18, 'S1-Refrigerants'!$C$35:$C$52, Z58:Z67)), SUMPRODUCT(SUMIFS('S1-Refrigerants'!$U$65:$U$82, 'S1-Refrigerants'!$B$65:$B$82, J18, 'S1-Refrigerants'!$C$65:$C$82, Z58:Z67)), SUMPRODUCT(SUMIFS('S1-Refrigerants'!$O$95:$O$112, 'S1-Refrigerants'!$B$95:$B$112, J18, 'S1-Refrigerants'!$C$95:$C$112, Z58:Z67)))),""))</f>
        <v>0</v>
      </c>
      <c r="K67" s="778" cm="1">
        <f t="array" ref="K67">IF($D$55="Facility", SUM(SUMIFS('S1-Refrigerants'!P35:P52, 'S1-Refrigerants'!$B$35:$B$52, K18, 'S1-Refrigerants'!$C$35:$C$52, C65), SUMIFS('S1-Refrigerants'!U65:U82, 'S1-Refrigerants'!$B$65:$B$82, K18, 'S1-Refrigerants'!$C$65:$C$82, C65), SUMIFS('S1-Refrigerants'!O95:O112, 'S1-Refrigerants'!$B$95:$B$112, K18, 'S1-Refrigerants'!$C$95:$C$112, C65)), _xlfn.IFNA(IF($D$55="Country", SUM(SUMPRODUCT(SUMIFS('S1-Refrigerants'!$P$35:$P$52, 'S1-Refrigerants'!$B$35:$B$52, K18, 'S1-Refrigerants'!$C$35:$C$52, Z58:Z67)), SUMPRODUCT(SUMIFS('S1-Refrigerants'!$U$65:$U$82, 'S1-Refrigerants'!$B$65:$B$82, K18, 'S1-Refrigerants'!$C$65:$C$82, Z58:Z67)), SUMPRODUCT(SUMIFS('S1-Refrigerants'!$O$95:$O$112, 'S1-Refrigerants'!$B$95:$B$112, K18, 'S1-Refrigerants'!$C$95:$C$112, Z58:Z67)))),""))</f>
        <v>0</v>
      </c>
      <c r="M67" s="894"/>
      <c r="V67" s="311"/>
      <c r="X67" t="e">
        <f>LOOKUP(2,1/(COUNTIF($J$35:X66,Table3[Location (Country)])=0),Table3[Location (Country)])</f>
        <v>#N/A</v>
      </c>
      <c r="Y67">
        <f t="array" ref="Y67">IFERROR(INDEX(Table3[Facility ID], SMALL(IF($Y$57=Table3[Location (Country)], ROW(Table3[Facility ID])-Parameters!$W$42, ""), ROW()-57)), 0)</f>
        <v>0</v>
      </c>
      <c r="Z67">
        <f t="array" ref="Z67">IFERROR(INDEX(Table3[Facility ID], SMALL(IF($Z$57=Table3[Location (Country)], ROW(Table3[Facility ID])-Parameters!$W$42, ""), ROW()-57)), 0)</f>
        <v>0</v>
      </c>
      <c r="AA67">
        <f t="array" ref="AA67">IFERROR(INDEX(Table3[Facility ID], SMALL(IF($AA$57=Table3[Location (Country)], ROW(Table3[Facility ID])-Parameters!$W$42, ""), ROW()-57)), 0)</f>
        <v>0</v>
      </c>
      <c r="AB67">
        <f t="array" ref="AB67">IFERROR(INDEX(Table3[Facility ID], SMALL(IF($AB$57=Table3[Location (Country)], ROW(Table3[Facility ID])-Parameters!$W$42, ""), ROW()-57)), 0)</f>
        <v>0</v>
      </c>
      <c r="AC67">
        <f t="array" ref="AC67">IFERROR(INDEX(Table3[Facility ID], SMALL(IF($AC$57=Table3[Location (Country)], ROW(Table3[Facility ID])-Parameters!$W$42, ""), ROW()-57)), 0)</f>
        <v>0</v>
      </c>
      <c r="AD67">
        <f t="array" ref="AD67">IFERROR(INDEX(Table3[Facility ID], SMALL(IF($AD$57=Table3[Location (Country)], ROW(Table3[Facility ID])-Parameters!$W$42, ""), ROW()-57)), 0)</f>
        <v>0</v>
      </c>
      <c r="AE67">
        <f t="array" ref="AE67">IFERROR(INDEX(Table3[Facility ID], SMALL(IF($AE$57=Table3[Location (Country)], ROW(Table3[Facility ID])-Parameters!$W$42, ""), ROW()-57)), 0)</f>
        <v>0</v>
      </c>
      <c r="AF67">
        <f t="array" ref="AF67">IFERROR(INDEX(Table3[Facility ID], SMALL(IF($AF$57=Table3[Location (Country)], ROW(Table3[Facility ID])-Parameters!$W$42, ""), ROW()-57)), 0)</f>
        <v>0</v>
      </c>
      <c r="AG67">
        <f t="array" ref="AG67">IFERROR(INDEX(Table3[Facility ID], SMALL(IF($AG$57=Table3[Location (Country)], ROW(Table3[Facility ID])-Parameters!$W$42, ""), ROW()-57)), 0)</f>
        <v>0</v>
      </c>
      <c r="AH67">
        <f t="array" ref="AH67">IFERROR(INDEX(Table3[Facility ID], SMALL(IF($AH$57=Table3[Location (Country)], ROW(Table3[Facility ID])-Parameters!$W$42, ""), ROW()-57)), 0)</f>
        <v>0</v>
      </c>
    </row>
    <row r="68" spans="1:34" ht="18.75">
      <c r="A68" s="311"/>
      <c r="C68" s="1000"/>
      <c r="D68" s="700" t="s">
        <v>100</v>
      </c>
      <c r="E68" s="776" t="s">
        <v>1438</v>
      </c>
      <c r="F68" s="774" cm="1">
        <f t="array" ref="F68">IF($D$55="Facility", SUMIFS(Purchased_Electricity[CO2e (tonnes)], Purchased_Electricity[Year], F18, Purchased_Electricity[Calculation Approach], Dropdowns!$S$2, Purchased_Electricity[Facility ID], C65), _xlfn.IFNA(IF($D$55="Country",SUMPRODUCT(SUMIFS(Purchased_Electricity[CO2e (tonnes)], Purchased_Electricity[Year], F18, Purchased_Electricity[Calculation Approach], Dropdowns!$S$2, Purchased_Electricity[Facility ID], Z58:Z67)),""), ""))</f>
        <v>0</v>
      </c>
      <c r="G68" s="774" cm="1">
        <f t="array" ref="G68">IF($D$55="Facility", SUMIFS(Purchased_Electricity[CO2e (tonnes)], Purchased_Electricity[Year], G18, Purchased_Electricity[Calculation Approach], Dropdowns!$S$2, Purchased_Electricity[Facility ID], C65), _xlfn.IFNA(IF($D$55="Country",SUMPRODUCT(SUMIFS(Purchased_Electricity[CO2e (tonnes)], Purchased_Electricity[Year], G18, Purchased_Electricity[Calculation Approach], Dropdowns!$S$2, Purchased_Electricity[Facility ID], Z58:Z67)),""), ""))</f>
        <v>0</v>
      </c>
      <c r="H68" s="774" cm="1">
        <f t="array" ref="H68">IF($D$55="Facility", SUMIFS(Purchased_Electricity[CO2e (tonnes)], Purchased_Electricity[Year], H18, Purchased_Electricity[Calculation Approach], Dropdowns!$S$2, Purchased_Electricity[Facility ID], C65), _xlfn.IFNA(IF($D$55="Country",SUMPRODUCT(SUMIFS(Purchased_Electricity[CO2e (tonnes)], Purchased_Electricity[Year], H18, Purchased_Electricity[Calculation Approach], Dropdowns!$S$2, Purchased_Electricity[Facility ID], Z58:Z67)),""), ""))</f>
        <v>0</v>
      </c>
      <c r="I68" s="774" cm="1">
        <f t="array" ref="I68">IF($D$55="Facility", SUMIFS(Purchased_Electricity[CO2e (tonnes)], Purchased_Electricity[Year], I18, Purchased_Electricity[Calculation Approach], Dropdowns!$S$2, Purchased_Electricity[Facility ID], C65), _xlfn.IFNA(IF($D$55="Country",SUMPRODUCT(SUMIFS(Purchased_Electricity[CO2e (tonnes)], Purchased_Electricity[Year], I18, Purchased_Electricity[Calculation Approach], Dropdowns!$S$2, Purchased_Electricity[Facility ID], Z58:Z67)),""), ""))</f>
        <v>0</v>
      </c>
      <c r="J68" s="774" cm="1">
        <f t="array" ref="J68">IF($D$55="Facility", SUMIFS(Purchased_Electricity[CO2e (tonnes)], Purchased_Electricity[Year], J18, Purchased_Electricity[Calculation Approach], Dropdowns!$S$2, Purchased_Electricity[Facility ID], C65), _xlfn.IFNA(IF($D$55="Country",SUMPRODUCT(SUMIFS(Purchased_Electricity[CO2e (tonnes)], Purchased_Electricity[Year], J18, Purchased_Electricity[Calculation Approach], Dropdowns!$S$2, Purchased_Electricity[Facility ID], Z58:Z67)),""), ""))</f>
        <v>0</v>
      </c>
      <c r="K68" s="779" cm="1">
        <f t="array" ref="K68">IF($D$55="Facility", SUMIFS(Purchased_Electricity[CO2e (tonnes)], Purchased_Electricity[Year], K18, Purchased_Electricity[Calculation Approach], Dropdowns!$S$2, Purchased_Electricity[Facility ID], C65), _xlfn.IFNA(IF($D$55="Country",SUMPRODUCT(SUMIFS(Purchased_Electricity[CO2e (tonnes)], Purchased_Electricity[Year], K18, Purchased_Electricity[Calculation Approach], Dropdowns!$S$2, Purchased_Electricity[Facility ID], Z58:Z67)),""), ""))</f>
        <v>0</v>
      </c>
      <c r="M68" s="894"/>
      <c r="V68" s="311"/>
    </row>
    <row r="69" spans="1:34" ht="18.75">
      <c r="A69" s="311"/>
      <c r="C69" s="1000"/>
      <c r="D69" s="699"/>
      <c r="E69" s="776" t="s">
        <v>1439</v>
      </c>
      <c r="F69" s="772" cm="1">
        <f t="array" ref="F69">IF($D$55="Facility", SUMIFS(Purchased_Electricity[CO2e (tonnes)], Purchased_Electricity[Year], F18, Purchased_Electricity[Calculation Approach], Dropdowns!$S$3, Purchased_Electricity[Facility ID], C65), _xlfn.IFNA(IF($D$55="Country",SUMPRODUCT(SUMIFS(Purchased_Electricity[CO2e (tonnes)], Purchased_Electricity[Year], F18, Purchased_Electricity[Calculation Approach], Dropdowns!$S$3, Purchased_Electricity[Facility ID], Z58:Z67)),""), ""))</f>
        <v>0</v>
      </c>
      <c r="G69" s="772" cm="1">
        <f t="array" ref="G69">IF($D$55="Facility", SUMIFS(Purchased_Electricity[CO2e (tonnes)], Purchased_Electricity[Year], G18, Purchased_Electricity[Calculation Approach], Dropdowns!$S$3, Purchased_Electricity[Facility ID], C65), _xlfn.IFNA(IF($D$55="Country",SUMPRODUCT(SUMIFS(Purchased_Electricity[CO2e (tonnes)], Purchased_Electricity[Year], G18, Purchased_Electricity[Calculation Approach], Dropdowns!$S$3, Purchased_Electricity[Facility ID], Z58:Z67)),""), ""))</f>
        <v>0</v>
      </c>
      <c r="H69" s="772" cm="1">
        <f t="array" ref="H69">IF($D$55="Facility", SUMIFS(Purchased_Electricity[CO2e (tonnes)], Purchased_Electricity[Year], H18, Purchased_Electricity[Calculation Approach], Dropdowns!$S$3, Purchased_Electricity[Facility ID], C65), _xlfn.IFNA(IF($D$55="Country",SUMPRODUCT(SUMIFS(Purchased_Electricity[CO2e (tonnes)], Purchased_Electricity[Year], H18, Purchased_Electricity[Calculation Approach], Dropdowns!$S$3, Purchased_Electricity[Facility ID], Z58:Z67)),""), ""))</f>
        <v>0</v>
      </c>
      <c r="I69" s="772" cm="1">
        <f t="array" ref="I69">IF($D$55="Facility", SUMIFS(Purchased_Electricity[CO2e (tonnes)], Purchased_Electricity[Year], I18, Purchased_Electricity[Calculation Approach], Dropdowns!$S$3, Purchased_Electricity[Facility ID], C65), _xlfn.IFNA(IF($D$55="Country",SUMPRODUCT(SUMIFS(Purchased_Electricity[CO2e (tonnes)], Purchased_Electricity[Year], I18, Purchased_Electricity[Calculation Approach], Dropdowns!$S$3, Purchased_Electricity[Facility ID], Z58:Z67)),""), ""))</f>
        <v>0</v>
      </c>
      <c r="J69" s="772" cm="1">
        <f t="array" ref="J69">IF($D$55="Facility", SUMIFS(Purchased_Electricity[CO2e (tonnes)], Purchased_Electricity[Year], J18, Purchased_Electricity[Calculation Approach], Dropdowns!$S$3, Purchased_Electricity[Facility ID], C65), _xlfn.IFNA(IF($D$55="Country",SUMPRODUCT(SUMIFS(Purchased_Electricity[CO2e (tonnes)], Purchased_Electricity[Year], J18, Purchased_Electricity[Calculation Approach], Dropdowns!$S$3, Purchased_Electricity[Facility ID], Z58:Z67)),""), ""))</f>
        <v>0</v>
      </c>
      <c r="K69" s="777" cm="1">
        <f t="array" ref="K69">IF($D$55="Facility", SUMIFS(Purchased_Electricity[CO2e (tonnes)], Purchased_Electricity[Year], K18, Purchased_Electricity[Calculation Approach], Dropdowns!$S$3, Purchased_Electricity[Facility ID], C65), _xlfn.IFNA(IF($D$55="Country",SUMPRODUCT(SUMIFS(Purchased_Electricity[CO2e (tonnes)], Purchased_Electricity[Year], K18, Purchased_Electricity[Calculation Approach], Dropdowns!$S$3, Purchased_Electricity[Facility ID], Z58:Z67)),""), ""))</f>
        <v>0</v>
      </c>
      <c r="M69" s="894"/>
      <c r="V69" s="311"/>
    </row>
    <row r="70" spans="1:34" ht="18.75">
      <c r="A70" s="311"/>
      <c r="C70" s="1000"/>
      <c r="D70" s="701"/>
      <c r="E70" s="423" t="s">
        <v>1440</v>
      </c>
      <c r="F70" s="773" cm="1">
        <f t="array" ref="F70">IF($D$55="Facility", SUMIFS(Purchased_Electricity[CO2e (tonnes)], Purchased_Electricity[Year], F18, Purchased_Electricity[Calculation Approach], Dropdowns!$S$4, Purchased_Electricity[Facility ID], C65), _xlfn.IFNA(IF($D$55="Country",SUMPRODUCT(SUMIFS(Purchased_Electricity[CO2e (tonnes)], Purchased_Electricity[Year], F18, Purchased_Electricity[Calculation Approach], Dropdowns!$S$4, Purchased_Electricity[Facility ID], Z58:Z67)),""), ""))</f>
        <v>0</v>
      </c>
      <c r="G70" s="773" cm="1">
        <f t="array" ref="G70">IF($D$55="Facility", SUMIFS(Purchased_Electricity[CO2e (tonnes)], Purchased_Electricity[Year], G18, Purchased_Electricity[Calculation Approach], Dropdowns!$S$4, Purchased_Electricity[Facility ID], C65), _xlfn.IFNA(IF($D$55="Country",SUMPRODUCT(SUMIFS(Purchased_Electricity[CO2e (tonnes)], Purchased_Electricity[Year], G18, Purchased_Electricity[Calculation Approach], Dropdowns!$S$4, Purchased_Electricity[Facility ID], Z58:Z67)),""), ""))</f>
        <v>0</v>
      </c>
      <c r="H70" s="773" cm="1">
        <f t="array" ref="H70">IF($D$55="Facility", SUMIFS(Purchased_Electricity[CO2e (tonnes)], Purchased_Electricity[Year], H18, Purchased_Electricity[Calculation Approach], Dropdowns!$S$4, Purchased_Electricity[Facility ID], C65), _xlfn.IFNA(IF($D$55="Country",SUMPRODUCT(SUMIFS(Purchased_Electricity[CO2e (tonnes)], Purchased_Electricity[Year], H18, Purchased_Electricity[Calculation Approach], Dropdowns!$S$4, Purchased_Electricity[Facility ID], Z58:Z67)),""), ""))</f>
        <v>0</v>
      </c>
      <c r="I70" s="773" cm="1">
        <f t="array" ref="I70">IF($D$55="Facility", SUMIFS(Purchased_Electricity[CO2e (tonnes)], Purchased_Electricity[Year], I18, Purchased_Electricity[Calculation Approach], Dropdowns!$S$4, Purchased_Electricity[Facility ID], C65), _xlfn.IFNA(IF($D$55="Country",SUMPRODUCT(SUMIFS(Purchased_Electricity[CO2e (tonnes)], Purchased_Electricity[Year], I18, Purchased_Electricity[Calculation Approach], Dropdowns!$S$4, Purchased_Electricity[Facility ID], Z58:Z67)),""), ""))</f>
        <v>0</v>
      </c>
      <c r="J70" s="773" cm="1">
        <f t="array" ref="J70">IF($D$55="Facility", SUMIFS(Purchased_Electricity[CO2e (tonnes)], Purchased_Electricity[Year], J18, Purchased_Electricity[Calculation Approach], Dropdowns!$S$4, Purchased_Electricity[Facility ID], C65), _xlfn.IFNA(IF($D$55="Country",SUMPRODUCT(SUMIFS(Purchased_Electricity[CO2e (tonnes)], Purchased_Electricity[Year], J18, Purchased_Electricity[Calculation Approach], Dropdowns!$S$4, Purchased_Electricity[Facility ID], Z58:Z67)),""), ""))</f>
        <v>0</v>
      </c>
      <c r="K70" s="778" cm="1">
        <f t="array" ref="K70">IF($D$55="Facility", SUMIFS(Purchased_Electricity[CO2e (tonnes)], Purchased_Electricity[Year], K18, Purchased_Electricity[Calculation Approach], Dropdowns!$S$4, Purchased_Electricity[Facility ID], C65), _xlfn.IFNA(IF($D$55="Country",SUMPRODUCT(SUMIFS(Purchased_Electricity[CO2e (tonnes)], Purchased_Electricity[Year], K18, Purchased_Electricity[Calculation Approach], Dropdowns!$S$4, Purchased_Electricity[Facility ID], Z58:Z67)),""), ""))</f>
        <v>0</v>
      </c>
      <c r="M70" s="894"/>
      <c r="V70" s="311"/>
    </row>
    <row r="71" spans="1:34" ht="19.5" thickBot="1">
      <c r="A71" s="311"/>
      <c r="C71" s="1001"/>
      <c r="D71" s="702" t="s">
        <v>1430</v>
      </c>
      <c r="E71" s="703"/>
      <c r="F71" s="783" cm="1">
        <f t="array" ref="F71">IF($D$55="Facility", SUM(SUMIFS(Stationary_Combustion[Biofuel CO2
(tonnes)], Stationary_Combustion[Year], F18, Stationary_Combustion[Facility ID], C65), SUMIFS(Table13[[#All],[Column15]], Table13[[#All],[Column1]], F18, Table13[[#All],[Column3]], C65)),_xlfn.IFNA(IF($D$55="Country",SUM(SUMPRODUCT(SUMIFS(Stationary_Combustion[Biofuel CO2
(tonnes)], Stationary_Combustion[Year], F18,  Stationary_Combustion[Facility ID], Z58:Z67)), SUMPRODUCT(SUMIFS(Table13[[#All],[Column15]], Table13[[#All],[Column1]], F18, Table13[[#All],[Column3]], Z58:Z67))),""), ""))</f>
        <v>0</v>
      </c>
      <c r="G71" s="783" cm="1">
        <f t="array" ref="G71">IF($D$55="Facility", SUM(SUMIFS(Stationary_Combustion[Biofuel CO2
(tonnes)], Stationary_Combustion[Year], G18, Stationary_Combustion[Facility ID], C65), SUMIFS(Table13[[#All],[Column15]], Table13[[#All],[Column1]], G18, Table13[[#All],[Column3]], C65)),_xlfn.IFNA(IF($D$55="Country",SUM(SUMPRODUCT(SUMIFS(Stationary_Combustion[Biofuel CO2
(tonnes)], Stationary_Combustion[Year], G18,  Stationary_Combustion[Facility ID], Z58:Z67)), SUMPRODUCT(SUMIFS(Table13[[#All],[Column15]], Table13[[#All],[Column1]], G18, Table13[[#All],[Column3]], Z58:Z67))),""), ""))</f>
        <v>0</v>
      </c>
      <c r="H71" s="783" cm="1">
        <f t="array" ref="H71">IF($D$55="Facility", SUM(SUMIFS(Stationary_Combustion[Biofuel CO2
(tonnes)], Stationary_Combustion[Year], H18, Stationary_Combustion[Facility ID], C65), SUMIFS(Table13[[#All],[Column15]], Table13[[#All],[Column1]], H18, Table13[[#All],[Column3]], C65)),_xlfn.IFNA(IF($D$55="Country",SUM(SUMPRODUCT(SUMIFS(Stationary_Combustion[Biofuel CO2
(tonnes)], Stationary_Combustion[Year], H18,  Stationary_Combustion[Facility ID], Z58:Z67)), SUMPRODUCT(SUMIFS(Table13[[#All],[Column15]], Table13[[#All],[Column1]], H18, Table13[[#All],[Column3]], Z58:Z67))),""), ""))</f>
        <v>0</v>
      </c>
      <c r="I71" s="783" cm="1">
        <f t="array" ref="I71">IF($D$55="Facility", SUM(SUMIFS(Stationary_Combustion[Biofuel CO2
(tonnes)], Stationary_Combustion[Year], I18, Stationary_Combustion[Facility ID], C65), SUMIFS(Table13[[#All],[Column15]], Table13[[#All],[Column1]], I18, Table13[[#All],[Column3]], C65)),_xlfn.IFNA(IF($D$55="Country",SUM(SUMPRODUCT(SUMIFS(Stationary_Combustion[Biofuel CO2
(tonnes)], Stationary_Combustion[Year], I18,  Stationary_Combustion[Facility ID], Z58:Z67)), SUMPRODUCT(SUMIFS(Table13[[#All],[Column15]], Table13[[#All],[Column1]], I18, Table13[[#All],[Column3]], Z58:Z67))),""), ""))</f>
        <v>0</v>
      </c>
      <c r="J71" s="783" cm="1">
        <f t="array" ref="J71">IF($D$55="Facility", SUM(SUMIFS(Stationary_Combustion[Biofuel CO2
(tonnes)], Stationary_Combustion[Year], J18, Stationary_Combustion[Facility ID], C65), SUMIFS(Table13[[#All],[Column15]], Table13[[#All],[Column1]], J18, Table13[[#All],[Column3]], C65)),_xlfn.IFNA(IF($D$55="Country",SUM(SUMPRODUCT(SUMIFS(Stationary_Combustion[Biofuel CO2
(tonnes)], Stationary_Combustion[Year], J18,  Stationary_Combustion[Facility ID], Z58:Z67)), SUMPRODUCT(SUMIFS(Table13[[#All],[Column15]], Table13[[#All],[Column1]], J18, Table13[[#All],[Column3]], Z58:Z67))),""), ""))</f>
        <v>0</v>
      </c>
      <c r="K71" s="780" cm="1">
        <f t="array" ref="K71">IF($D$55="Facility", SUM(SUMIFS(Stationary_Combustion[Biofuel CO2
(tonnes)], Stationary_Combustion[Year], K18, Stationary_Combustion[Facility ID], C65), SUMIFS(Table13[[#All],[Column15]], Table13[[#All],[Column1]], K18, Table13[[#All],[Column3]], C65)),_xlfn.IFNA(IF($D$55="Country",SUM(SUMPRODUCT(SUMIFS(Stationary_Combustion[Biofuel CO2
(tonnes)], Stationary_Combustion[Year], K18,  Stationary_Combustion[Facility ID], Z58:Z67)), SUMPRODUCT(SUMIFS(Table13[[#All],[Column15]], Table13[[#All],[Column1]], K18, Table13[[#All],[Column3]], Z58:Z67))),""), ""))</f>
        <v>0</v>
      </c>
      <c r="M71" s="894"/>
      <c r="V71" s="311"/>
    </row>
    <row r="72" spans="1:34" ht="18.75">
      <c r="A72" s="311"/>
      <c r="C72" s="999">
        <f>IF($D$55="Facility",Parameters!F45,_xlfn.IFNA(IF($D$55="Country",X60,""),""))</f>
        <v>3</v>
      </c>
      <c r="D72" s="697" t="s">
        <v>95</v>
      </c>
      <c r="E72" s="698" t="s">
        <v>88</v>
      </c>
      <c r="F72" s="781" cm="1">
        <f t="array" ref="F72">IF($D$55="Facility", SUMIFS(Stationary_Combustion[CO2e (tonnes)], Stationary_Combustion[Year], F18, Stationary_Combustion[Facility ID], C72),_xlfn.IFNA(IF($D$55="Country",SUMPRODUCT(SUMIFS(Stationary_Combustion[CO2e (tonnes)], Stationary_Combustion[Year], F18, Stationary_Combustion[Facility ID], AA58:AA67)),""), ""))</f>
        <v>0</v>
      </c>
      <c r="G72" s="781" cm="1">
        <f t="array" ref="G72">IF($D$55="Facility", SUMIFS(Stationary_Combustion[CO2e (tonnes)], Stationary_Combustion[Year], G18, Stationary_Combustion[Facility ID], C72),_xlfn.IFNA(IF($D$55="Country",SUMPRODUCT(SUMIFS(Stationary_Combustion[CO2e (tonnes)], Stationary_Combustion[Year], G18, Stationary_Combustion[Facility ID], AA58:AA67)),""), ""))</f>
        <v>0</v>
      </c>
      <c r="H72" s="781" cm="1">
        <f t="array" ref="H72">IF($D$55="Facility", SUMIFS(Stationary_Combustion[CO2e (tonnes)], Stationary_Combustion[Year], H18, Stationary_Combustion[Facility ID], C72),_xlfn.IFNA(IF($D$55="Country",SUMPRODUCT(SUMIFS(Stationary_Combustion[CO2e (tonnes)], Stationary_Combustion[Year], H18, Stationary_Combustion[Facility ID], AA58:AA67)),""), ""))</f>
        <v>0</v>
      </c>
      <c r="I72" s="781" cm="1">
        <f t="array" ref="I72">IF($D$55="Facility", SUMIFS(Stationary_Combustion[CO2e (tonnes)], Stationary_Combustion[Year], I18, Stationary_Combustion[Facility ID], C72),_xlfn.IFNA(IF($D$55="Country",SUMPRODUCT(SUMIFS(Stationary_Combustion[CO2e (tonnes)], Stationary_Combustion[Year], I18, Stationary_Combustion[Facility ID], AA58:AA67)),""), ""))</f>
        <v>0</v>
      </c>
      <c r="J72" s="781" cm="1">
        <f t="array" ref="J72">IF($D$55="Facility", SUMIFS(Stationary_Combustion[CO2e (tonnes)], Stationary_Combustion[Year], J18, Stationary_Combustion[Facility ID], C72),_xlfn.IFNA(IF($D$55="Country",SUMPRODUCT(SUMIFS(Stationary_Combustion[CO2e (tonnes)], Stationary_Combustion[Year], J18, Stationary_Combustion[Facility ID], AA58:AA67)),""), ""))</f>
        <v>0</v>
      </c>
      <c r="K72" s="782" cm="1">
        <f t="array" ref="K72">IF($D$55="Facility", SUMIFS(Stationary_Combustion[CO2e (tonnes)], Stationary_Combustion[Year], K18, Stationary_Combustion[Facility ID], C72),_xlfn.IFNA(IF($D$55="Country",SUMPRODUCT(SUMIFS(Stationary_Combustion[CO2e (tonnes)], Stationary_Combustion[Year], K18, Stationary_Combustion[Facility ID], AA58:AA67)),""), ""))</f>
        <v>0</v>
      </c>
      <c r="M72" s="894"/>
      <c r="V72" s="311"/>
    </row>
    <row r="73" spans="1:34" ht="18.75">
      <c r="A73" s="311"/>
      <c r="C73" s="1000"/>
      <c r="D73" s="699"/>
      <c r="E73" s="421" t="s">
        <v>89</v>
      </c>
      <c r="F73" s="772" cm="1">
        <f t="array" ref="F73">IF($D$55="Facility", SUMIFS(Table13[[#All],[Column14]], Table13[[#All],[Column1]], F18, Table13[[#All],[Column3]], C72),_xlfn.IFNA(IF($D$55="Country",SUMPRODUCT(SUMIFS(Table13[[#All],[Column14]], Table13[[#All],[Column1]], F18, Table13[[#All],[Column3]], AA58:AA67)),""), ""))</f>
        <v>0</v>
      </c>
      <c r="G73" s="772" cm="1">
        <f t="array" ref="G73">IF($D$55="Facility", SUMIFS(Table13[[#All],[Column14]], Table13[[#All],[Column1]], G18, Table13[[#All],[Column3]], C72),_xlfn.IFNA(IF($D$55="Country",SUMPRODUCT(SUMIFS(Table13[[#All],[Column14]], Table13[[#All],[Column1]], G18, Table13[[#All],[Column3]], AA58:AA67)),""), ""))</f>
        <v>0</v>
      </c>
      <c r="H73" s="772" cm="1">
        <f t="array" ref="H73">IF($D$55="Facility", SUMIFS(Table13[[#All],[Column14]], Table13[[#All],[Column1]], H18, Table13[[#All],[Column3]], C72),_xlfn.IFNA(IF($D$55="Country",SUMPRODUCT(SUMIFS(Table13[[#All],[Column14]], Table13[[#All],[Column1]], H18, Table13[[#All],[Column3]], AA58:AA67)),""), ""))</f>
        <v>0</v>
      </c>
      <c r="I73" s="772" cm="1">
        <f t="array" ref="I73">IF($D$55="Facility", SUMIFS(Table13[[#All],[Column14]], Table13[[#All],[Column1]], I18, Table13[[#All],[Column3]], C72),_xlfn.IFNA(IF($D$55="Country",SUMPRODUCT(SUMIFS(Table13[[#All],[Column14]], Table13[[#All],[Column1]], I18, Table13[[#All],[Column3]], AA58:AA67)),""), ""))</f>
        <v>0</v>
      </c>
      <c r="J73" s="772" cm="1">
        <f t="array" ref="J73">IF($D$55="Facility", SUMIFS(Table13[[#All],[Column14]], Table13[[#All],[Column1]], J18, Table13[[#All],[Column3]], C72),_xlfn.IFNA(IF($D$55="Country",SUMPRODUCT(SUMIFS(Table13[[#All],[Column14]], Table13[[#All],[Column1]], J18, Table13[[#All],[Column3]], AA58:AA67)),""), ""))</f>
        <v>0</v>
      </c>
      <c r="K73" s="777" cm="1">
        <f t="array" ref="K73">IF($D$55="Facility", SUMIFS(Table13[[#All],[Column14]], Table13[[#All],[Column1]], K18, Table13[[#All],[Column3]], C72),_xlfn.IFNA(IF($D$55="Country",SUMPRODUCT(SUMIFS(Table13[[#All],[Column14]], Table13[[#All],[Column1]], K18, Table13[[#All],[Column3]], AA58:AA67)),""), ""))</f>
        <v>0</v>
      </c>
      <c r="M73" s="894"/>
      <c r="V73" s="311"/>
    </row>
    <row r="74" spans="1:34" ht="18.75">
      <c r="A74" s="311"/>
      <c r="C74" s="1000"/>
      <c r="D74" s="701"/>
      <c r="E74" s="423" t="s">
        <v>1437</v>
      </c>
      <c r="F74" s="773" cm="1">
        <f t="array" ref="F74">IF($D$55="Facility", SUM(SUMIFS('S1-Refrigerants'!P35:P52, 'S1-Refrigerants'!$B$35:$B$52, F18, 'S1-Refrigerants'!$C$35:$C$52, C72), SUMIFS('S1-Refrigerants'!U65:U82, 'S1-Refrigerants'!$B$65:$B$82, F18, 'S1-Refrigerants'!$C$65:$C$82, C72), SUMIFS('S1-Refrigerants'!O95:O112, 'S1-Refrigerants'!$B$95:$B$112, F18, 'S1-Refrigerants'!$C$95:$C$112, C72)), _xlfn.IFNA(IF($D$55="Country", SUM(SUMPRODUCT(SUMIFS('S1-Refrigerants'!$P$35:$P$52, 'S1-Refrigerants'!$B$35:$B$52, F18, 'S1-Refrigerants'!$C$35:$C$52, AA58:AA67)), SUMPRODUCT(SUMIFS('S1-Refrigerants'!$U$65:$U$82, 'S1-Refrigerants'!$B$65:$B$82, F18, 'S1-Refrigerants'!$C$65:$C$82, AA58:AA67)), SUMPRODUCT(SUMIFS('S1-Refrigerants'!$O$95:$O$112, 'S1-Refrigerants'!$B$95:$B$112, F18, 'S1-Refrigerants'!$C$95:$C$112, AA58:AA67)))),""))</f>
        <v>0</v>
      </c>
      <c r="G74" s="773" cm="1">
        <f t="array" ref="G74">IF($D$55="Facility", SUM(SUMIFS('S1-Refrigerants'!P35:P52, 'S1-Refrigerants'!$B$35:$B$52, G18, 'S1-Refrigerants'!$C$35:$C$52, C72), SUMIFS('S1-Refrigerants'!U65:U82, 'S1-Refrigerants'!$B$65:$B$82, G18, 'S1-Refrigerants'!$C$65:$C$82, C72), SUMIFS('S1-Refrigerants'!O95:O112, 'S1-Refrigerants'!$B$95:$B$112, G18, 'S1-Refrigerants'!$C$95:$C$112, C72)), _xlfn.IFNA(IF($D$55="Country", SUM(SUMPRODUCT(SUMIFS('S1-Refrigerants'!$P$35:$P$52, 'S1-Refrigerants'!$B$35:$B$52, G18, 'S1-Refrigerants'!$C$35:$C$52, AA58:AA67)), SUMPRODUCT(SUMIFS('S1-Refrigerants'!$U$65:$U$82, 'S1-Refrigerants'!$B$65:$B$82, G18, 'S1-Refrigerants'!$C$65:$C$82, AA58:AA67)), SUMPRODUCT(SUMIFS('S1-Refrigerants'!$O$95:$O$112, 'S1-Refrigerants'!$B$95:$B$112, G18, 'S1-Refrigerants'!$C$95:$C$112, AA58:AA67)))),""))</f>
        <v>0</v>
      </c>
      <c r="H74" s="773" cm="1">
        <f t="array" ref="H74">IF($D$55="Facility", SUM(SUMIFS('S1-Refrigerants'!P35:P52, 'S1-Refrigerants'!$B$35:$B$52, H18, 'S1-Refrigerants'!$C$35:$C$52, C72), SUMIFS('S1-Refrigerants'!U65:U82, 'S1-Refrigerants'!$B$65:$B$82, H18, 'S1-Refrigerants'!$C$65:$C$82, C72), SUMIFS('S1-Refrigerants'!O95:O112, 'S1-Refrigerants'!$B$95:$B$112, H18, 'S1-Refrigerants'!$C$95:$C$112, C72)), _xlfn.IFNA(IF($D$55="Country", SUM(SUMPRODUCT(SUMIFS('S1-Refrigerants'!$P$35:$P$52, 'S1-Refrigerants'!$B$35:$B$52, H18, 'S1-Refrigerants'!$C$35:$C$52, AA58:AA67)), SUMPRODUCT(SUMIFS('S1-Refrigerants'!$U$65:$U$82, 'S1-Refrigerants'!$B$65:$B$82, H18, 'S1-Refrigerants'!$C$65:$C$82, AA58:AA67)), SUMPRODUCT(SUMIFS('S1-Refrigerants'!$O$95:$O$112, 'S1-Refrigerants'!$B$95:$B$112, H18, 'S1-Refrigerants'!$C$95:$C$112, AA58:AA67)))),""))</f>
        <v>0</v>
      </c>
      <c r="I74" s="773" cm="1">
        <f t="array" ref="I74">IF($D$55="Facility", SUM(SUMIFS('S1-Refrigerants'!P35:P52, 'S1-Refrigerants'!$B$35:$B$52, I18, 'S1-Refrigerants'!$C$35:$C$52, C72), SUMIFS('S1-Refrigerants'!U65:U82, 'S1-Refrigerants'!$B$65:$B$82, I18, 'S1-Refrigerants'!$C$65:$C$82, C72), SUMIFS('S1-Refrigerants'!O95:O112, 'S1-Refrigerants'!$B$95:$B$112, I18, 'S1-Refrigerants'!$C$95:$C$112, C72)), _xlfn.IFNA(IF($D$55="Country", SUM(SUMPRODUCT(SUMIFS('S1-Refrigerants'!$P$35:$P$52, 'S1-Refrigerants'!$B$35:$B$52, I18, 'S1-Refrigerants'!$C$35:$C$52, AA58:AA67)), SUMPRODUCT(SUMIFS('S1-Refrigerants'!$U$65:$U$82, 'S1-Refrigerants'!$B$65:$B$82, I18, 'S1-Refrigerants'!$C$65:$C$82, AA58:AA67)), SUMPRODUCT(SUMIFS('S1-Refrigerants'!$O$95:$O$112, 'S1-Refrigerants'!$B$95:$B$112, I18, 'S1-Refrigerants'!$C$95:$C$112, AA58:AA67)))),""))</f>
        <v>0</v>
      </c>
      <c r="J74" s="773" cm="1">
        <f t="array" ref="J74">IF($D$55="Facility", SUM(SUMIFS('S1-Refrigerants'!P35:P52, 'S1-Refrigerants'!$B$35:$B$52, J18, 'S1-Refrigerants'!$C$35:$C$52, C72), SUMIFS('S1-Refrigerants'!U65:U82, 'S1-Refrigerants'!$B$65:$B$82, J18, 'S1-Refrigerants'!$C$65:$C$82, C72), SUMIFS('S1-Refrigerants'!O95:O112, 'S1-Refrigerants'!$B$95:$B$112, J18, 'S1-Refrigerants'!$C$95:$C$112, C72)), _xlfn.IFNA(IF($D$55="Country", SUM(SUMPRODUCT(SUMIFS('S1-Refrigerants'!$P$35:$P$52, 'S1-Refrigerants'!$B$35:$B$52, J18, 'S1-Refrigerants'!$C$35:$C$52, AA58:AA67)), SUMPRODUCT(SUMIFS('S1-Refrigerants'!$U$65:$U$82, 'S1-Refrigerants'!$B$65:$B$82, J18, 'S1-Refrigerants'!$C$65:$C$82, AA58:AA67)), SUMPRODUCT(SUMIFS('S1-Refrigerants'!$O$95:$O$112, 'S1-Refrigerants'!$B$95:$B$112, J18, 'S1-Refrigerants'!$C$95:$C$112, AA58:AA67)))),""))</f>
        <v>0</v>
      </c>
      <c r="K74" s="778" cm="1">
        <f t="array" ref="K74">IF($D$55="Facility", SUM(SUMIFS('S1-Refrigerants'!P35:P52, 'S1-Refrigerants'!$B$35:$B$52, K18, 'S1-Refrigerants'!$C$35:$C$52, C72), SUMIFS('S1-Refrigerants'!U65:U82, 'S1-Refrigerants'!$B$65:$B$82, K18, 'S1-Refrigerants'!$C$65:$C$82, C72), SUMIFS('S1-Refrigerants'!O95:O112, 'S1-Refrigerants'!$B$95:$B$112, K18, 'S1-Refrigerants'!$C$95:$C$112, C72)), _xlfn.IFNA(IF($D$55="Country", SUM(SUMPRODUCT(SUMIFS('S1-Refrigerants'!$P$35:$P$52, 'S1-Refrigerants'!$B$35:$B$52, K18, 'S1-Refrigerants'!$C$35:$C$52, AA58:AA67)), SUMPRODUCT(SUMIFS('S1-Refrigerants'!$U$65:$U$82, 'S1-Refrigerants'!$B$65:$B$82, K18, 'S1-Refrigerants'!$C$65:$C$82, AA58:AA67)), SUMPRODUCT(SUMIFS('S1-Refrigerants'!$O$95:$O$112, 'S1-Refrigerants'!$B$95:$B$112, K18, 'S1-Refrigerants'!$C$95:$C$112, AA58:AA67)))),""))</f>
        <v>0</v>
      </c>
      <c r="M74" s="894"/>
      <c r="V74" s="311"/>
    </row>
    <row r="75" spans="1:34" ht="18.75">
      <c r="A75" s="311"/>
      <c r="C75" s="1000"/>
      <c r="D75" s="700" t="s">
        <v>100</v>
      </c>
      <c r="E75" s="776" t="s">
        <v>1438</v>
      </c>
      <c r="F75" s="774" cm="1">
        <f t="array" ref="F75">IF($D$55="Facility", SUMIFS(Purchased_Electricity[CO2e (tonnes)], Purchased_Electricity[Year], F18, Purchased_Electricity[Calculation Approach], Dropdowns!$S$2, Purchased_Electricity[Facility ID], C72), _xlfn.IFNA(IF($D$55="Country",SUMPRODUCT(SUMIFS(Purchased_Electricity[CO2e (tonnes)], Purchased_Electricity[Year], F18, Purchased_Electricity[Calculation Approach], Dropdowns!$S$2, Purchased_Electricity[Facility ID], AA58:AA67)),""), ""))</f>
        <v>0</v>
      </c>
      <c r="G75" s="774" cm="1">
        <f t="array" ref="G75">IF($D$55="Facility", SUMIFS(Purchased_Electricity[CO2e (tonnes)], Purchased_Electricity[Year], G18, Purchased_Electricity[Calculation Approach], Dropdowns!$S$2, Purchased_Electricity[Facility ID], C72), _xlfn.IFNA(IF($D$55="Country",SUMPRODUCT(SUMIFS(Purchased_Electricity[CO2e (tonnes)], Purchased_Electricity[Year], G18, Purchased_Electricity[Calculation Approach], Dropdowns!$S$2, Purchased_Electricity[Facility ID], AA58:AA67)),""), ""))</f>
        <v>0</v>
      </c>
      <c r="H75" s="774" cm="1">
        <f t="array" ref="H75">IF($D$55="Facility", SUMIFS(Purchased_Electricity[CO2e (tonnes)], Purchased_Electricity[Year], H18, Purchased_Electricity[Calculation Approach], Dropdowns!$S$2, Purchased_Electricity[Facility ID], C72), _xlfn.IFNA(IF($D$55="Country",SUMPRODUCT(SUMIFS(Purchased_Electricity[CO2e (tonnes)], Purchased_Electricity[Year], H18, Purchased_Electricity[Calculation Approach], Dropdowns!$S$2, Purchased_Electricity[Facility ID], AA58:AA67)),""), ""))</f>
        <v>0</v>
      </c>
      <c r="I75" s="774" cm="1">
        <f t="array" ref="I75">IF($D$55="Facility", SUMIFS(Purchased_Electricity[CO2e (tonnes)], Purchased_Electricity[Year], I18, Purchased_Electricity[Calculation Approach], Dropdowns!$S$2, Purchased_Electricity[Facility ID], C72), _xlfn.IFNA(IF($D$55="Country",SUMPRODUCT(SUMIFS(Purchased_Electricity[CO2e (tonnes)], Purchased_Electricity[Year], I18, Purchased_Electricity[Calculation Approach], Dropdowns!$S$2, Purchased_Electricity[Facility ID], AA58:AA67)),""), ""))</f>
        <v>0</v>
      </c>
      <c r="J75" s="774" cm="1">
        <f t="array" ref="J75">IF($D$55="Facility", SUMIFS(Purchased_Electricity[CO2e (tonnes)], Purchased_Electricity[Year], J18, Purchased_Electricity[Calculation Approach], Dropdowns!$S$2, Purchased_Electricity[Facility ID], C72), _xlfn.IFNA(IF($D$55="Country",SUMPRODUCT(SUMIFS(Purchased_Electricity[CO2e (tonnes)], Purchased_Electricity[Year], J18, Purchased_Electricity[Calculation Approach], Dropdowns!$S$2, Purchased_Electricity[Facility ID], AA58:AA67)),""), ""))</f>
        <v>0</v>
      </c>
      <c r="K75" s="779" cm="1">
        <f t="array" ref="K75">IF($D$55="Facility", SUMIFS(Purchased_Electricity[CO2e (tonnes)], Purchased_Electricity[Year], K18, Purchased_Electricity[Calculation Approach], Dropdowns!$S$2, Purchased_Electricity[Facility ID], C72), _xlfn.IFNA(IF($D$55="Country",SUMPRODUCT(SUMIFS(Purchased_Electricity[CO2e (tonnes)], Purchased_Electricity[Year], K18, Purchased_Electricity[Calculation Approach], Dropdowns!$S$2, Purchased_Electricity[Facility ID], AA58:AA67)),""), ""))</f>
        <v>0</v>
      </c>
      <c r="M75" s="894"/>
      <c r="V75" s="311"/>
    </row>
    <row r="76" spans="1:34" ht="18.75">
      <c r="A76" s="311"/>
      <c r="C76" s="1000"/>
      <c r="D76" s="699"/>
      <c r="E76" s="776" t="s">
        <v>1439</v>
      </c>
      <c r="F76" s="772" cm="1">
        <f t="array" ref="F76">IF($D$55="Facility", SUMIFS(Purchased_Electricity[CO2e (tonnes)], Purchased_Electricity[Year], F18, Purchased_Electricity[Calculation Approach], Dropdowns!$S$3, Purchased_Electricity[Facility ID], C72), _xlfn.IFNA(IF($D$55="Country",SUMPRODUCT(SUMIFS(Purchased_Electricity[CO2e (tonnes)], Purchased_Electricity[Year], F18, Purchased_Electricity[Calculation Approach], Dropdowns!$S$3, Purchased_Electricity[Facility ID], AA58:AA67)),""), ""))</f>
        <v>0</v>
      </c>
      <c r="G76" s="772" cm="1">
        <f t="array" ref="G76">IF($D$55="Facility", SUMIFS(Purchased_Electricity[CO2e (tonnes)], Purchased_Electricity[Year], G18, Purchased_Electricity[Calculation Approach], Dropdowns!$S$3, Purchased_Electricity[Facility ID], C72), _xlfn.IFNA(IF($D$55="Country",SUMPRODUCT(SUMIFS(Purchased_Electricity[CO2e (tonnes)], Purchased_Electricity[Year], G18, Purchased_Electricity[Calculation Approach], Dropdowns!$S$3, Purchased_Electricity[Facility ID], AA58:AA67)),""), ""))</f>
        <v>0</v>
      </c>
      <c r="H76" s="772" cm="1">
        <f t="array" ref="H76">IF($D$55="Facility", SUMIFS(Purchased_Electricity[CO2e (tonnes)], Purchased_Electricity[Year], H18, Purchased_Electricity[Calculation Approach], Dropdowns!$S$3, Purchased_Electricity[Facility ID], C72), _xlfn.IFNA(IF($D$55="Country",SUMPRODUCT(SUMIFS(Purchased_Electricity[CO2e (tonnes)], Purchased_Electricity[Year], H18, Purchased_Electricity[Calculation Approach], Dropdowns!$S$3, Purchased_Electricity[Facility ID], AA58:AA67)),""), ""))</f>
        <v>0</v>
      </c>
      <c r="I76" s="772" cm="1">
        <f t="array" ref="I76">IF($D$55="Facility", SUMIFS(Purchased_Electricity[CO2e (tonnes)], Purchased_Electricity[Year], I18, Purchased_Electricity[Calculation Approach], Dropdowns!$S$3, Purchased_Electricity[Facility ID], C72), _xlfn.IFNA(IF($D$55="Country",SUMPRODUCT(SUMIFS(Purchased_Electricity[CO2e (tonnes)], Purchased_Electricity[Year], I18, Purchased_Electricity[Calculation Approach], Dropdowns!$S$3, Purchased_Electricity[Facility ID], AA58:AA67)),""), ""))</f>
        <v>0</v>
      </c>
      <c r="J76" s="772" cm="1">
        <f t="array" ref="J76">IF($D$55="Facility", SUMIFS(Purchased_Electricity[CO2e (tonnes)], Purchased_Electricity[Year], J18, Purchased_Electricity[Calculation Approach], Dropdowns!$S$3, Purchased_Electricity[Facility ID], C72), _xlfn.IFNA(IF($D$55="Country",SUMPRODUCT(SUMIFS(Purchased_Electricity[CO2e (tonnes)], Purchased_Electricity[Year], J18, Purchased_Electricity[Calculation Approach], Dropdowns!$S$3, Purchased_Electricity[Facility ID], AA58:AA67)),""), ""))</f>
        <v>0</v>
      </c>
      <c r="K76" s="777" cm="1">
        <f t="array" ref="K76">IF($D$55="Facility", SUMIFS(Purchased_Electricity[CO2e (tonnes)], Purchased_Electricity[Year], K18, Purchased_Electricity[Calculation Approach], Dropdowns!$S$3, Purchased_Electricity[Facility ID], C72), _xlfn.IFNA(IF($D$55="Country",SUMPRODUCT(SUMIFS(Purchased_Electricity[CO2e (tonnes)], Purchased_Electricity[Year], K18, Purchased_Electricity[Calculation Approach], Dropdowns!$S$3, Purchased_Electricity[Facility ID], AA58:AA67)),""), ""))</f>
        <v>0</v>
      </c>
      <c r="M76" s="894"/>
      <c r="V76" s="311"/>
    </row>
    <row r="77" spans="1:34" ht="18.75">
      <c r="A77" s="311"/>
      <c r="C77" s="1000"/>
      <c r="D77" s="701"/>
      <c r="E77" s="423" t="s">
        <v>1440</v>
      </c>
      <c r="F77" s="773" cm="1">
        <f t="array" ref="F77">IF($D$55="Facility", SUMIFS(Purchased_Electricity[CO2e (tonnes)], Purchased_Electricity[Year], F18, Purchased_Electricity[Calculation Approach], Dropdowns!$S$4, Purchased_Electricity[Facility ID], C72), _xlfn.IFNA(IF($D$55="Country",SUMPRODUCT(SUMIFS(Purchased_Electricity[CO2e (tonnes)], Purchased_Electricity[Year], F18, Purchased_Electricity[Calculation Approach], Dropdowns!$S$4, Purchased_Electricity[Facility ID], AA58:AA67)),""), ""))</f>
        <v>0</v>
      </c>
      <c r="G77" s="773" cm="1">
        <f t="array" ref="G77">IF($D$55="Facility", SUMIFS(Purchased_Electricity[CO2e (tonnes)], Purchased_Electricity[Year], G18, Purchased_Electricity[Calculation Approach], Dropdowns!$S$4, Purchased_Electricity[Facility ID], C72), _xlfn.IFNA(IF($D$55="Country",SUMPRODUCT(SUMIFS(Purchased_Electricity[CO2e (tonnes)], Purchased_Electricity[Year], G18, Purchased_Electricity[Calculation Approach], Dropdowns!$S$4, Purchased_Electricity[Facility ID], AA58:AA67)),""), ""))</f>
        <v>0</v>
      </c>
      <c r="H77" s="773" cm="1">
        <f t="array" ref="H77">IF($D$55="Facility", SUMIFS(Purchased_Electricity[CO2e (tonnes)], Purchased_Electricity[Year], H18, Purchased_Electricity[Calculation Approach], Dropdowns!$S$4, Purchased_Electricity[Facility ID], C72), _xlfn.IFNA(IF($D$55="Country",SUMPRODUCT(SUMIFS(Purchased_Electricity[CO2e (tonnes)], Purchased_Electricity[Year], H18, Purchased_Electricity[Calculation Approach], Dropdowns!$S$4, Purchased_Electricity[Facility ID], AA58:AA67)),""), ""))</f>
        <v>0</v>
      </c>
      <c r="I77" s="773" cm="1">
        <f t="array" ref="I77">IF($D$55="Facility", SUMIFS(Purchased_Electricity[CO2e (tonnes)], Purchased_Electricity[Year], I18, Purchased_Electricity[Calculation Approach], Dropdowns!$S$4, Purchased_Electricity[Facility ID], C72), _xlfn.IFNA(IF($D$55="Country",SUMPRODUCT(SUMIFS(Purchased_Electricity[CO2e (tonnes)], Purchased_Electricity[Year], I18, Purchased_Electricity[Calculation Approach], Dropdowns!$S$4, Purchased_Electricity[Facility ID], AA58:AA67)),""), ""))</f>
        <v>0</v>
      </c>
      <c r="J77" s="773" cm="1">
        <f t="array" ref="J77">IF($D$55="Facility", SUMIFS(Purchased_Electricity[CO2e (tonnes)], Purchased_Electricity[Year], J18, Purchased_Electricity[Calculation Approach], Dropdowns!$S$4, Purchased_Electricity[Facility ID], C72), _xlfn.IFNA(IF($D$55="Country",SUMPRODUCT(SUMIFS(Purchased_Electricity[CO2e (tonnes)], Purchased_Electricity[Year], J18, Purchased_Electricity[Calculation Approach], Dropdowns!$S$4, Purchased_Electricity[Facility ID], AA58:AA67)),""), ""))</f>
        <v>0</v>
      </c>
      <c r="K77" s="778" cm="1">
        <f t="array" ref="K77">IF($D$55="Facility", SUMIFS(Purchased_Electricity[CO2e (tonnes)], Purchased_Electricity[Year], K18, Purchased_Electricity[Calculation Approach], Dropdowns!$S$4, Purchased_Electricity[Facility ID], C72), _xlfn.IFNA(IF($D$55="Country",SUMPRODUCT(SUMIFS(Purchased_Electricity[CO2e (tonnes)], Purchased_Electricity[Year], K18, Purchased_Electricity[Calculation Approach], Dropdowns!$S$4, Purchased_Electricity[Facility ID], AA58:AA67)),""), ""))</f>
        <v>0</v>
      </c>
      <c r="M77" s="894"/>
      <c r="V77" s="311"/>
    </row>
    <row r="78" spans="1:34" ht="19.5" thickBot="1">
      <c r="A78" s="311"/>
      <c r="C78" s="1001"/>
      <c r="D78" s="702" t="s">
        <v>1430</v>
      </c>
      <c r="E78" s="703"/>
      <c r="F78" s="783" cm="1">
        <f t="array" ref="F78">IF($D$55="Facility", SUM(SUMIFS(Stationary_Combustion[Biofuel CO2
(tonnes)], Stationary_Combustion[Year], F18, Stationary_Combustion[Facility ID], C72), SUMIFS(Table13[[#All],[Column15]], Table13[[#All],[Column1]], F18, Table13[[#All],[Column3]], C72)),_xlfn.IFNA(IF($D$55="Country",SUM(SUMPRODUCT(SUMIFS(Stationary_Combustion[Biofuel CO2
(tonnes)], Stationary_Combustion[Year], F18,  Stationary_Combustion[Facility ID], AA58:AA67)), SUMPRODUCT(SUMIFS(Table13[[#All],[Column15]], Table13[[#All],[Column1]], F18, Table13[[#All],[Column3]], AA58:AA67))),""), ""))</f>
        <v>0</v>
      </c>
      <c r="G78" s="783" cm="1">
        <f t="array" ref="G78">IF($D$55="Facility", SUM(SUMIFS(Stationary_Combustion[Biofuel CO2
(tonnes)], Stationary_Combustion[Year], G18, Stationary_Combustion[Facility ID], C72), SUMIFS(Table13[[#All],[Column15]], Table13[[#All],[Column1]], G18, Table13[[#All],[Column3]], C72)),_xlfn.IFNA(IF($D$55="Country",SUM(SUMPRODUCT(SUMIFS(Stationary_Combustion[Biofuel CO2
(tonnes)], Stationary_Combustion[Year], G18,  Stationary_Combustion[Facility ID], AA58:AA67)), SUMPRODUCT(SUMIFS(Table13[[#All],[Column15]], Table13[[#All],[Column1]], G18, Table13[[#All],[Column3]], AA58:AA67))),""), ""))</f>
        <v>0</v>
      </c>
      <c r="H78" s="783" cm="1">
        <f t="array" ref="H78">IF($D$55="Facility", SUM(SUMIFS(Stationary_Combustion[Biofuel CO2
(tonnes)], Stationary_Combustion[Year], H18, Stationary_Combustion[Facility ID], C72), SUMIFS(Table13[[#All],[Column15]], Table13[[#All],[Column1]], H18, Table13[[#All],[Column3]], C72)),_xlfn.IFNA(IF($D$55="Country",SUM(SUMPRODUCT(SUMIFS(Stationary_Combustion[Biofuel CO2
(tonnes)], Stationary_Combustion[Year], H18,  Stationary_Combustion[Facility ID], AA58:AA67)), SUMPRODUCT(SUMIFS(Table13[[#All],[Column15]], Table13[[#All],[Column1]], H18, Table13[[#All],[Column3]], AA58:AA67))),""), ""))</f>
        <v>0</v>
      </c>
      <c r="I78" s="783" cm="1">
        <f t="array" ref="I78">IF($D$55="Facility", SUM(SUMIFS(Stationary_Combustion[Biofuel CO2
(tonnes)], Stationary_Combustion[Year], I18, Stationary_Combustion[Facility ID], C72), SUMIFS(Table13[[#All],[Column15]], Table13[[#All],[Column1]], I18, Table13[[#All],[Column3]], C72)),_xlfn.IFNA(IF($D$55="Country",SUM(SUMPRODUCT(SUMIFS(Stationary_Combustion[Biofuel CO2
(tonnes)], Stationary_Combustion[Year], I18,  Stationary_Combustion[Facility ID], AA58:AA67)), SUMPRODUCT(SUMIFS(Table13[[#All],[Column15]], Table13[[#All],[Column1]], I18, Table13[[#All],[Column3]], AA58:AA67))),""), ""))</f>
        <v>0</v>
      </c>
      <c r="J78" s="783" cm="1">
        <f t="array" ref="J78">IF($D$55="Facility", SUM(SUMIFS(Stationary_Combustion[Biofuel CO2
(tonnes)], Stationary_Combustion[Year], J18, Stationary_Combustion[Facility ID], C72), SUMIFS(Table13[[#All],[Column15]], Table13[[#All],[Column1]], J18, Table13[[#All],[Column3]], C72)),_xlfn.IFNA(IF($D$55="Country",SUM(SUMPRODUCT(SUMIFS(Stationary_Combustion[Biofuel CO2
(tonnes)], Stationary_Combustion[Year], J18,  Stationary_Combustion[Facility ID], AA58:AA67)), SUMPRODUCT(SUMIFS(Table13[[#All],[Column15]], Table13[[#All],[Column1]], J18, Table13[[#All],[Column3]], AA58:AA67))),""), ""))</f>
        <v>0</v>
      </c>
      <c r="K78" s="780" cm="1">
        <f t="array" ref="K78">IF($D$55="Facility", SUM(SUMIFS(Stationary_Combustion[Biofuel CO2
(tonnes)], Stationary_Combustion[Year], K18, Stationary_Combustion[Facility ID], C72), SUMIFS(Table13[[#All],[Column15]], Table13[[#All],[Column1]], K18, Table13[[#All],[Column3]], C72)),_xlfn.IFNA(IF($D$55="Country",SUM(SUMPRODUCT(SUMIFS(Stationary_Combustion[Biofuel CO2
(tonnes)], Stationary_Combustion[Year], K18,  Stationary_Combustion[Facility ID], AA58:AA67)), SUMPRODUCT(SUMIFS(Table13[[#All],[Column15]], Table13[[#All],[Column1]], K18, Table13[[#All],[Column3]], AA58:AA67))),""), ""))</f>
        <v>0</v>
      </c>
      <c r="M78" s="894"/>
      <c r="V78" s="311"/>
    </row>
    <row r="79" spans="1:34" ht="18.75">
      <c r="A79" s="311"/>
      <c r="C79" s="999">
        <f>IF($D$55="Facility",Parameters!F46,_xlfn.IFNA(IF($D$55="Country",X61,""),""))</f>
        <v>4</v>
      </c>
      <c r="D79" s="697" t="s">
        <v>95</v>
      </c>
      <c r="E79" s="698" t="s">
        <v>88</v>
      </c>
      <c r="F79" s="781" cm="1">
        <f t="array" ref="F79">IF($D$55="Facility", SUMIFS(Stationary_Combustion[CO2e (tonnes)], Stationary_Combustion[Year], F18, Stationary_Combustion[Facility ID], C79),_xlfn.IFNA(IF($D$55="Country",SUMPRODUCT(SUMIFS(Stationary_Combustion[CO2e (tonnes)], Stationary_Combustion[Year], F18, Stationary_Combustion[Facility ID], AB58:AB67)),""), ""))</f>
        <v>0</v>
      </c>
      <c r="G79" s="781" cm="1">
        <f t="array" ref="G79">IF($D$55="Facility", SUMIFS(Stationary_Combustion[CO2e (tonnes)], Stationary_Combustion[Year], G18, Stationary_Combustion[Facility ID], C79),_xlfn.IFNA(IF($D$55="Country",SUMPRODUCT(SUMIFS(Stationary_Combustion[CO2e (tonnes)], Stationary_Combustion[Year], G18, Stationary_Combustion[Facility ID], AB58:AB67)),""), ""))</f>
        <v>0</v>
      </c>
      <c r="H79" s="781" cm="1">
        <f t="array" ref="H79">IF($D$55="Facility", SUMIFS(Stationary_Combustion[CO2e (tonnes)], Stationary_Combustion[Year], H18, Stationary_Combustion[Facility ID], C79),_xlfn.IFNA(IF($D$55="Country",SUMPRODUCT(SUMIFS(Stationary_Combustion[CO2e (tonnes)], Stationary_Combustion[Year], H18, Stationary_Combustion[Facility ID], AB58:AB67)),""), ""))</f>
        <v>0</v>
      </c>
      <c r="I79" s="781" cm="1">
        <f t="array" ref="I79">IF($D$55="Facility", SUMIFS(Stationary_Combustion[CO2e (tonnes)], Stationary_Combustion[Year], I18, Stationary_Combustion[Facility ID], C79),_xlfn.IFNA(IF($D$55="Country",SUMPRODUCT(SUMIFS(Stationary_Combustion[CO2e (tonnes)], Stationary_Combustion[Year], I18, Stationary_Combustion[Facility ID], AB58:AB67)),""), ""))</f>
        <v>0</v>
      </c>
      <c r="J79" s="781" cm="1">
        <f t="array" ref="J79">IF($D$55="Facility", SUMIFS(Stationary_Combustion[CO2e (tonnes)], Stationary_Combustion[Year], J18, Stationary_Combustion[Facility ID], C79),_xlfn.IFNA(IF($D$55="Country",SUMPRODUCT(SUMIFS(Stationary_Combustion[CO2e (tonnes)], Stationary_Combustion[Year], J18, Stationary_Combustion[Facility ID], AB58:AB67)),""), ""))</f>
        <v>0</v>
      </c>
      <c r="K79" s="782" cm="1">
        <f t="array" ref="K79">IF($D$55="Facility", SUMIFS(Stationary_Combustion[CO2e (tonnes)], Stationary_Combustion[Year], K18, Stationary_Combustion[Facility ID], C79),_xlfn.IFNA(IF($D$55="Country",SUMPRODUCT(SUMIFS(Stationary_Combustion[CO2e (tonnes)], Stationary_Combustion[Year], K18, Stationary_Combustion[Facility ID], AB58:AB67)),""), ""))</f>
        <v>0</v>
      </c>
      <c r="M79" s="894"/>
      <c r="V79" s="311"/>
    </row>
    <row r="80" spans="1:34" ht="18.75">
      <c r="A80" s="311"/>
      <c r="C80" s="1000"/>
      <c r="D80" s="699"/>
      <c r="E80" s="421" t="s">
        <v>89</v>
      </c>
      <c r="F80" s="772" cm="1">
        <f t="array" ref="F80">IF($D$55="Facility", SUMIFS(Table13[[#All],[Column14]], Table13[[#All],[Column1]], F18, Table13[[#All],[Column3]], C79),_xlfn.IFNA(IF($D$55="Country",SUMPRODUCT(SUMIFS(Table13[[#All],[Column14]], Table13[[#All],[Column1]], F18, Table13[[#All],[Column3]], AB58:AB67)),""), ""))</f>
        <v>0</v>
      </c>
      <c r="G80" s="772" cm="1">
        <f t="array" ref="G80">IF($D$55="Facility", SUMIFS(Table13[[#All],[Column14]], Table13[[#All],[Column1]], G18, Table13[[#All],[Column3]], C79),_xlfn.IFNA(IF($D$55="Country",SUMPRODUCT(SUMIFS(Table13[[#All],[Column14]], Table13[[#All],[Column1]], G18, Table13[[#All],[Column3]], AB58:AB67)),""), ""))</f>
        <v>0</v>
      </c>
      <c r="H80" s="772" cm="1">
        <f t="array" ref="H80">IF($D$55="Facility", SUMIFS(Table13[[#All],[Column14]], Table13[[#All],[Column1]], H18, Table13[[#All],[Column3]], C79),_xlfn.IFNA(IF($D$55="Country",SUMPRODUCT(SUMIFS(Table13[[#All],[Column14]], Table13[[#All],[Column1]], H18, Table13[[#All],[Column3]], AB58:AB67)),""), ""))</f>
        <v>0</v>
      </c>
      <c r="I80" s="772" cm="1">
        <f t="array" ref="I80">IF($D$55="Facility", SUMIFS(Table13[[#All],[Column14]], Table13[[#All],[Column1]], I18, Table13[[#All],[Column3]], C79),_xlfn.IFNA(IF($D$55="Country",SUMPRODUCT(SUMIFS(Table13[[#All],[Column14]], Table13[[#All],[Column1]], I18, Table13[[#All],[Column3]], AB58:AB67)),""), ""))</f>
        <v>0</v>
      </c>
      <c r="J80" s="772" cm="1">
        <f t="array" ref="J80">IF($D$55="Facility", SUMIFS(Table13[[#All],[Column14]], Table13[[#All],[Column1]], J18, Table13[[#All],[Column3]], C79),_xlfn.IFNA(IF($D$55="Country",SUMPRODUCT(SUMIFS(Table13[[#All],[Column14]], Table13[[#All],[Column1]], J18, Table13[[#All],[Column3]], AB58:AB67)),""), ""))</f>
        <v>0</v>
      </c>
      <c r="K80" s="777" cm="1">
        <f t="array" ref="K80">IF($D$55="Facility", SUMIFS(Table13[[#All],[Column14]], Table13[[#All],[Column1]], K18, Table13[[#All],[Column3]], C79),_xlfn.IFNA(IF($D$55="Country",SUMPRODUCT(SUMIFS(Table13[[#All],[Column14]], Table13[[#All],[Column1]], K18, Table13[[#All],[Column3]], AB58:AB67)),""), ""))</f>
        <v>0</v>
      </c>
      <c r="M80" s="894"/>
      <c r="V80" s="311"/>
    </row>
    <row r="81" spans="1:22" ht="18.75">
      <c r="A81" s="311"/>
      <c r="C81" s="1000"/>
      <c r="D81" s="701"/>
      <c r="E81" s="423" t="s">
        <v>1437</v>
      </c>
      <c r="F81" s="773" cm="1">
        <f t="array" ref="F81">IF($D$55="Facility", SUM(SUMIFS('S1-Refrigerants'!P35:P52, 'S1-Refrigerants'!$B$35:$B$52, F18, 'S1-Refrigerants'!$C$35:$C$52, C79), SUMIFS('S1-Refrigerants'!U65:U82, 'S1-Refrigerants'!$B$65:$B$82, F18, 'S1-Refrigerants'!$C$65:$C$82, C79), SUMIFS('S1-Refrigerants'!O95:O112, 'S1-Refrigerants'!$B$95:$B$112, F18, 'S1-Refrigerants'!$C$95:$C$112, C79)), _xlfn.IFNA(IF($D$55="Country", SUM(SUMPRODUCT(SUMIFS('S1-Refrigerants'!$P$35:$P$52, 'S1-Refrigerants'!$B$35:$B$52, F18, 'S1-Refrigerants'!$C$35:$C$52, AB58:AB67)), SUMPRODUCT(SUMIFS('S1-Refrigerants'!$U$65:$U$82, 'S1-Refrigerants'!$B$65:$B$82, F18, 'S1-Refrigerants'!$C$65:$C$82, AB58:AB67)), SUMPRODUCT(SUMIFS('S1-Refrigerants'!$O$95:$O$112, 'S1-Refrigerants'!$B$95:$B$112, F18, 'S1-Refrigerants'!$C$95:$C$112, AB58:AB67)))),""))</f>
        <v>0</v>
      </c>
      <c r="G81" s="773" cm="1">
        <f t="array" ref="G81">IF($D$55="Facility", SUM(SUMIFS('S1-Refrigerants'!P35:P52, 'S1-Refrigerants'!$B$35:$B$52, G18, 'S1-Refrigerants'!$C$35:$C$52, C79), SUMIFS('S1-Refrigerants'!U65:U82, 'S1-Refrigerants'!$B$65:$B$82, G18, 'S1-Refrigerants'!$C$65:$C$82, C79), SUMIFS('S1-Refrigerants'!O95:O112, 'S1-Refrigerants'!$B$95:$B$112, G18, 'S1-Refrigerants'!$C$95:$C$112, C79)), _xlfn.IFNA(IF($D$55="Country", SUM(SUMPRODUCT(SUMIFS('S1-Refrigerants'!$P$35:$P$52, 'S1-Refrigerants'!$B$35:$B$52, G18, 'S1-Refrigerants'!$C$35:$C$52, AB58:AB67)), SUMPRODUCT(SUMIFS('S1-Refrigerants'!$U$65:$U$82, 'S1-Refrigerants'!$B$65:$B$82, G18, 'S1-Refrigerants'!$C$65:$C$82, AB58:AB67)), SUMPRODUCT(SUMIFS('S1-Refrigerants'!$O$95:$O$112, 'S1-Refrigerants'!$B$95:$B$112, G18, 'S1-Refrigerants'!$C$95:$C$112, AB58:AB67)))),""))</f>
        <v>0</v>
      </c>
      <c r="H81" s="773" cm="1">
        <f t="array" ref="H81">IF($D$55="Facility", SUM(SUMIFS('S1-Refrigerants'!P35:P52, 'S1-Refrigerants'!$B$35:$B$52, H18, 'S1-Refrigerants'!$C$35:$C$52, C79), SUMIFS('S1-Refrigerants'!U65:U82, 'S1-Refrigerants'!$B$65:$B$82, H18, 'S1-Refrigerants'!$C$65:$C$82, C79), SUMIFS('S1-Refrigerants'!O95:O112, 'S1-Refrigerants'!$B$95:$B$112, H18, 'S1-Refrigerants'!$C$95:$C$112, C79)), _xlfn.IFNA(IF($D$55="Country", SUM(SUMPRODUCT(SUMIFS('S1-Refrigerants'!$P$35:$P$52, 'S1-Refrigerants'!$B$35:$B$52, H18, 'S1-Refrigerants'!$C$35:$C$52, AB58:AB67)), SUMPRODUCT(SUMIFS('S1-Refrigerants'!$U$65:$U$82, 'S1-Refrigerants'!$B$65:$B$82, H18, 'S1-Refrigerants'!$C$65:$C$82, AB58:AB67)), SUMPRODUCT(SUMIFS('S1-Refrigerants'!$O$95:$O$112, 'S1-Refrigerants'!$B$95:$B$112, H18, 'S1-Refrigerants'!$C$95:$C$112, AB58:AB67)))),""))</f>
        <v>0</v>
      </c>
      <c r="I81" s="773" cm="1">
        <f t="array" ref="I81">IF($D$55="Facility", SUM(SUMIFS('S1-Refrigerants'!P35:P52, 'S1-Refrigerants'!$B$35:$B$52, I18, 'S1-Refrigerants'!$C$35:$C$52, C79), SUMIFS('S1-Refrigerants'!U65:U82, 'S1-Refrigerants'!$B$65:$B$82, I18, 'S1-Refrigerants'!$C$65:$C$82, C79), SUMIFS('S1-Refrigerants'!O95:O112, 'S1-Refrigerants'!$B$95:$B$112, I18, 'S1-Refrigerants'!$C$95:$C$112, C79)), _xlfn.IFNA(IF($D$55="Country", SUM(SUMPRODUCT(SUMIFS('S1-Refrigerants'!$P$35:$P$52, 'S1-Refrigerants'!$B$35:$B$52, I18, 'S1-Refrigerants'!$C$35:$C$52, AB58:AB67)), SUMPRODUCT(SUMIFS('S1-Refrigerants'!$U$65:$U$82, 'S1-Refrigerants'!$B$65:$B$82, I18, 'S1-Refrigerants'!$C$65:$C$82, AB58:AB67)), SUMPRODUCT(SUMIFS('S1-Refrigerants'!$O$95:$O$112, 'S1-Refrigerants'!$B$95:$B$112, I18, 'S1-Refrigerants'!$C$95:$C$112, AB58:AB67)))),""))</f>
        <v>0</v>
      </c>
      <c r="J81" s="773" cm="1">
        <f t="array" ref="J81">IF($D$55="Facility", SUM(SUMIFS('S1-Refrigerants'!P35:P52, 'S1-Refrigerants'!$B$35:$B$52, J18, 'S1-Refrigerants'!$C$35:$C$52, C79), SUMIFS('S1-Refrigerants'!U65:U82, 'S1-Refrigerants'!$B$65:$B$82, J18, 'S1-Refrigerants'!$C$65:$C$82, C79), SUMIFS('S1-Refrigerants'!O95:O112, 'S1-Refrigerants'!$B$95:$B$112, J18, 'S1-Refrigerants'!$C$95:$C$112, C79)), _xlfn.IFNA(IF($D$55="Country", SUM(SUMPRODUCT(SUMIFS('S1-Refrigerants'!$P$35:$P$52, 'S1-Refrigerants'!$B$35:$B$52, J18, 'S1-Refrigerants'!$C$35:$C$52, AB58:AB67)), SUMPRODUCT(SUMIFS('S1-Refrigerants'!$U$65:$U$82, 'S1-Refrigerants'!$B$65:$B$82, J18, 'S1-Refrigerants'!$C$65:$C$82, AB58:AB67)), SUMPRODUCT(SUMIFS('S1-Refrigerants'!$O$95:$O$112, 'S1-Refrigerants'!$B$95:$B$112, J18, 'S1-Refrigerants'!$C$95:$C$112, AB58:AB67)))),""))</f>
        <v>0</v>
      </c>
      <c r="K81" s="778" cm="1">
        <f t="array" ref="K81">IF($D$55="Facility", SUM(SUMIFS('S1-Refrigerants'!P35:P52, 'S1-Refrigerants'!$B$35:$B$52, K18, 'S1-Refrigerants'!$C$35:$C$52, C79), SUMIFS('S1-Refrigerants'!U65:U82, 'S1-Refrigerants'!$B$65:$B$82, K18, 'S1-Refrigerants'!$C$65:$C$82, C79), SUMIFS('S1-Refrigerants'!O95:O112, 'S1-Refrigerants'!$B$95:$B$112, K18, 'S1-Refrigerants'!$C$95:$C$112, C79)), _xlfn.IFNA(IF($D$55="Country", SUM(SUMPRODUCT(SUMIFS('S1-Refrigerants'!$P$35:$P$52, 'S1-Refrigerants'!$B$35:$B$52, K18, 'S1-Refrigerants'!$C$35:$C$52, AB58:AB67)), SUMPRODUCT(SUMIFS('S1-Refrigerants'!$U$65:$U$82, 'S1-Refrigerants'!$B$65:$B$82, K18, 'S1-Refrigerants'!$C$65:$C$82, AB58:AB67)), SUMPRODUCT(SUMIFS('S1-Refrigerants'!$O$95:$O$112, 'S1-Refrigerants'!$B$95:$B$112, K18, 'S1-Refrigerants'!$C$95:$C$112, AB58:AB67)))),""))</f>
        <v>0</v>
      </c>
      <c r="M81" s="894"/>
      <c r="V81" s="311"/>
    </row>
    <row r="82" spans="1:22" ht="18.75">
      <c r="A82" s="311"/>
      <c r="C82" s="1000"/>
      <c r="D82" s="700" t="s">
        <v>100</v>
      </c>
      <c r="E82" s="776" t="s">
        <v>1438</v>
      </c>
      <c r="F82" s="774" cm="1">
        <f t="array" ref="F82">IF($D$55="Facility", SUMIFS(Purchased_Electricity[CO2e (tonnes)], Purchased_Electricity[Year], F18, Purchased_Electricity[Calculation Approach], Dropdowns!$S$2, Purchased_Electricity[Facility ID], C79), _xlfn.IFNA(IF($D$55="Country",SUMPRODUCT(SUMIFS(Purchased_Electricity[CO2e (tonnes)], Purchased_Electricity[Year], F18, Purchased_Electricity[Calculation Approach], Dropdowns!$S$2, Purchased_Electricity[Facility ID], AB58:AB67)),""), ""))</f>
        <v>0</v>
      </c>
      <c r="G82" s="774" cm="1">
        <f t="array" ref="G82">IF($D$55="Facility", SUMIFS(Purchased_Electricity[CO2e (tonnes)], Purchased_Electricity[Year], G18, Purchased_Electricity[Calculation Approach], Dropdowns!$S$2, Purchased_Electricity[Facility ID], C79), _xlfn.IFNA(IF($D$55="Country",SUMPRODUCT(SUMIFS(Purchased_Electricity[CO2e (tonnes)], Purchased_Electricity[Year], G18, Purchased_Electricity[Calculation Approach], Dropdowns!$S$2, Purchased_Electricity[Facility ID], AB58:AB67)),""), ""))</f>
        <v>0</v>
      </c>
      <c r="H82" s="774" cm="1">
        <f t="array" ref="H82">IF($D$55="Facility", SUMIFS(Purchased_Electricity[CO2e (tonnes)], Purchased_Electricity[Year], H18, Purchased_Electricity[Calculation Approach], Dropdowns!$S$2, Purchased_Electricity[Facility ID], C79), _xlfn.IFNA(IF($D$55="Country",SUMPRODUCT(SUMIFS(Purchased_Electricity[CO2e (tonnes)], Purchased_Electricity[Year], H18, Purchased_Electricity[Calculation Approach], Dropdowns!$S$2, Purchased_Electricity[Facility ID], AB58:AB67)),""), ""))</f>
        <v>0</v>
      </c>
      <c r="I82" s="774" cm="1">
        <f t="array" ref="I82">IF($D$55="Facility", SUMIFS(Purchased_Electricity[CO2e (tonnes)], Purchased_Electricity[Year], I18, Purchased_Electricity[Calculation Approach], Dropdowns!$S$2, Purchased_Electricity[Facility ID], C79), _xlfn.IFNA(IF($D$55="Country",SUMPRODUCT(SUMIFS(Purchased_Electricity[CO2e (tonnes)], Purchased_Electricity[Year], I18, Purchased_Electricity[Calculation Approach], Dropdowns!$S$2, Purchased_Electricity[Facility ID], AB58:AB67)),""), ""))</f>
        <v>0</v>
      </c>
      <c r="J82" s="774" cm="1">
        <f t="array" ref="J82">IF($D$55="Facility", SUMIFS(Purchased_Electricity[CO2e (tonnes)], Purchased_Electricity[Year], J18, Purchased_Electricity[Calculation Approach], Dropdowns!$S$2, Purchased_Electricity[Facility ID], C79), _xlfn.IFNA(IF($D$55="Country",SUMPRODUCT(SUMIFS(Purchased_Electricity[CO2e (tonnes)], Purchased_Electricity[Year], J18, Purchased_Electricity[Calculation Approach], Dropdowns!$S$2, Purchased_Electricity[Facility ID], AB58:AB67)),""), ""))</f>
        <v>0</v>
      </c>
      <c r="K82" s="779" cm="1">
        <f t="array" ref="K82">IF($D$55="Facility", SUMIFS(Purchased_Electricity[CO2e (tonnes)], Purchased_Electricity[Year], K18, Purchased_Electricity[Calculation Approach], Dropdowns!$S$2, Purchased_Electricity[Facility ID], C79), _xlfn.IFNA(IF($D$55="Country",SUMPRODUCT(SUMIFS(Purchased_Electricity[CO2e (tonnes)], Purchased_Electricity[Year], K18, Purchased_Electricity[Calculation Approach], Dropdowns!$S$2, Purchased_Electricity[Facility ID], AB58:AB67)),""), ""))</f>
        <v>0</v>
      </c>
      <c r="M82" s="894"/>
      <c r="V82" s="311"/>
    </row>
    <row r="83" spans="1:22" ht="18.75">
      <c r="A83" s="311"/>
      <c r="C83" s="1000"/>
      <c r="D83" s="699"/>
      <c r="E83" s="776" t="s">
        <v>1439</v>
      </c>
      <c r="F83" s="772" cm="1">
        <f t="array" ref="F83">IF($D$55="Facility", SUMIFS(Purchased_Electricity[CO2e (tonnes)], Purchased_Electricity[Year], F18, Purchased_Electricity[Calculation Approach], Dropdowns!$S$3, Purchased_Electricity[Facility ID], C79), _xlfn.IFNA(IF($D$55="Country",SUMPRODUCT(SUMIFS(Purchased_Electricity[CO2e (tonnes)], Purchased_Electricity[Year], F18, Purchased_Electricity[Calculation Approach], Dropdowns!$S$3, Purchased_Electricity[Facility ID], AB58:AB67)),""), ""))</f>
        <v>0</v>
      </c>
      <c r="G83" s="772" cm="1">
        <f t="array" ref="G83">IF($D$55="Facility", SUMIFS(Purchased_Electricity[CO2e (tonnes)], Purchased_Electricity[Year], G18, Purchased_Electricity[Calculation Approach], Dropdowns!$S$3, Purchased_Electricity[Facility ID], C79), _xlfn.IFNA(IF($D$55="Country",SUMPRODUCT(SUMIFS(Purchased_Electricity[CO2e (tonnes)], Purchased_Electricity[Year], G18, Purchased_Electricity[Calculation Approach], Dropdowns!$S$3, Purchased_Electricity[Facility ID], AB58:AB67)),""), ""))</f>
        <v>0</v>
      </c>
      <c r="H83" s="772" cm="1">
        <f t="array" ref="H83">IF($D$55="Facility", SUMIFS(Purchased_Electricity[CO2e (tonnes)], Purchased_Electricity[Year], H18, Purchased_Electricity[Calculation Approach], Dropdowns!$S$3, Purchased_Electricity[Facility ID], C79), _xlfn.IFNA(IF($D$55="Country",SUMPRODUCT(SUMIFS(Purchased_Electricity[CO2e (tonnes)], Purchased_Electricity[Year], H18, Purchased_Electricity[Calculation Approach], Dropdowns!$S$3, Purchased_Electricity[Facility ID], AB58:AB67)),""), ""))</f>
        <v>0</v>
      </c>
      <c r="I83" s="772" cm="1">
        <f t="array" ref="I83">IF($D$55="Facility", SUMIFS(Purchased_Electricity[CO2e (tonnes)], Purchased_Electricity[Year], I18, Purchased_Electricity[Calculation Approach], Dropdowns!$S$3, Purchased_Electricity[Facility ID], C79), _xlfn.IFNA(IF($D$55="Country",SUMPRODUCT(SUMIFS(Purchased_Electricity[CO2e (tonnes)], Purchased_Electricity[Year], I18, Purchased_Electricity[Calculation Approach], Dropdowns!$S$3, Purchased_Electricity[Facility ID], AB58:AB67)),""), ""))</f>
        <v>0</v>
      </c>
      <c r="J83" s="772" cm="1">
        <f t="array" ref="J83">IF($D$55="Facility", SUMIFS(Purchased_Electricity[CO2e (tonnes)], Purchased_Electricity[Year], J18, Purchased_Electricity[Calculation Approach], Dropdowns!$S$3, Purchased_Electricity[Facility ID], C79), _xlfn.IFNA(IF($D$55="Country",SUMPRODUCT(SUMIFS(Purchased_Electricity[CO2e (tonnes)], Purchased_Electricity[Year], J18, Purchased_Electricity[Calculation Approach], Dropdowns!$S$3, Purchased_Electricity[Facility ID], AB58:AB67)),""), ""))</f>
        <v>0</v>
      </c>
      <c r="K83" s="777" cm="1">
        <f t="array" ref="K83">IF($D$55="Facility", SUMIFS(Purchased_Electricity[CO2e (tonnes)], Purchased_Electricity[Year], K18, Purchased_Electricity[Calculation Approach], Dropdowns!$S$3, Purchased_Electricity[Facility ID], C79), _xlfn.IFNA(IF($D$55="Country",SUMPRODUCT(SUMIFS(Purchased_Electricity[CO2e (tonnes)], Purchased_Electricity[Year], K18, Purchased_Electricity[Calculation Approach], Dropdowns!$S$3, Purchased_Electricity[Facility ID], AB58:AB67)),""), ""))</f>
        <v>0</v>
      </c>
      <c r="V83" s="311"/>
    </row>
    <row r="84" spans="1:22" ht="18.75">
      <c r="A84" s="311"/>
      <c r="C84" s="1000"/>
      <c r="D84" s="701"/>
      <c r="E84" s="423" t="s">
        <v>1440</v>
      </c>
      <c r="F84" s="773" cm="1">
        <f t="array" ref="F84">IF($D$55="Facility", SUMIFS(Purchased_Electricity[CO2e (tonnes)], Purchased_Electricity[Year], F18, Purchased_Electricity[Calculation Approach], Dropdowns!$S$4, Purchased_Electricity[Facility ID], C79), _xlfn.IFNA(IF($D$55="Country",SUMPRODUCT(SUMIFS(Purchased_Electricity[CO2e (tonnes)], Purchased_Electricity[Year], F18, Purchased_Electricity[Calculation Approach], Dropdowns!$S$4, Purchased_Electricity[Facility ID], AB58:AB67)),""), ""))</f>
        <v>0</v>
      </c>
      <c r="G84" s="773" cm="1">
        <f t="array" ref="G84">IF($D$55="Facility", SUMIFS(Purchased_Electricity[CO2e (tonnes)], Purchased_Electricity[Year], G18, Purchased_Electricity[Calculation Approach], Dropdowns!$S$4, Purchased_Electricity[Facility ID], C79), _xlfn.IFNA(IF($D$55="Country",SUMPRODUCT(SUMIFS(Purchased_Electricity[CO2e (tonnes)], Purchased_Electricity[Year], G18, Purchased_Electricity[Calculation Approach], Dropdowns!$S$4, Purchased_Electricity[Facility ID], AB58:AB67)),""), ""))</f>
        <v>0</v>
      </c>
      <c r="H84" s="773" cm="1">
        <f t="array" ref="H84">IF($D$55="Facility", SUMIFS(Purchased_Electricity[CO2e (tonnes)], Purchased_Electricity[Year], H18, Purchased_Electricity[Calculation Approach], Dropdowns!$S$4, Purchased_Electricity[Facility ID], C79), _xlfn.IFNA(IF($D$55="Country",SUMPRODUCT(SUMIFS(Purchased_Electricity[CO2e (tonnes)], Purchased_Electricity[Year], H18, Purchased_Electricity[Calculation Approach], Dropdowns!$S$4, Purchased_Electricity[Facility ID], AB58:AB67)),""), ""))</f>
        <v>0</v>
      </c>
      <c r="I84" s="773" cm="1">
        <f t="array" ref="I84">IF($D$55="Facility", SUMIFS(Purchased_Electricity[CO2e (tonnes)], Purchased_Electricity[Year], I18, Purchased_Electricity[Calculation Approach], Dropdowns!$S$4, Purchased_Electricity[Facility ID], C79), _xlfn.IFNA(IF($D$55="Country",SUMPRODUCT(SUMIFS(Purchased_Electricity[CO2e (tonnes)], Purchased_Electricity[Year], I18, Purchased_Electricity[Calculation Approach], Dropdowns!$S$4, Purchased_Electricity[Facility ID], AB58:AB67)),""), ""))</f>
        <v>0</v>
      </c>
      <c r="J84" s="773" cm="1">
        <f t="array" ref="J84">IF($D$55="Facility", SUMIFS(Purchased_Electricity[CO2e (tonnes)], Purchased_Electricity[Year], J18, Purchased_Electricity[Calculation Approach], Dropdowns!$S$4, Purchased_Electricity[Facility ID], C79), _xlfn.IFNA(IF($D$55="Country",SUMPRODUCT(SUMIFS(Purchased_Electricity[CO2e (tonnes)], Purchased_Electricity[Year], J18, Purchased_Electricity[Calculation Approach], Dropdowns!$S$4, Purchased_Electricity[Facility ID], AB58:AB67)),""), ""))</f>
        <v>0</v>
      </c>
      <c r="K84" s="778" cm="1">
        <f t="array" ref="K84">IF($D$55="Facility", SUMIFS(Purchased_Electricity[CO2e (tonnes)], Purchased_Electricity[Year], K18, Purchased_Electricity[Calculation Approach], Dropdowns!$S$4, Purchased_Electricity[Facility ID], C79), _xlfn.IFNA(IF($D$55="Country",SUMPRODUCT(SUMIFS(Purchased_Electricity[CO2e (tonnes)], Purchased_Electricity[Year], K18, Purchased_Electricity[Calculation Approach], Dropdowns!$S$4, Purchased_Electricity[Facility ID], AB58:AB67)),""), ""))</f>
        <v>0</v>
      </c>
      <c r="V84" s="311"/>
    </row>
    <row r="85" spans="1:22" ht="19.5" thickBot="1">
      <c r="A85" s="311"/>
      <c r="C85" s="1001"/>
      <c r="D85" s="702" t="s">
        <v>1430</v>
      </c>
      <c r="E85" s="703"/>
      <c r="F85" s="783" cm="1">
        <f t="array" ref="F85">IF($D$55="Facility", SUM(SUMIFS(Stationary_Combustion[Biofuel CO2
(tonnes)], Stationary_Combustion[Year], F18, Stationary_Combustion[Facility ID], C79), SUMIFS(Table13[[#All],[Column15]], Table13[[#All],[Column1]], F18, Table13[[#All],[Column3]], C79)),_xlfn.IFNA(IF($D$55="Country",SUM(SUMPRODUCT(SUMIFS(Stationary_Combustion[Biofuel CO2
(tonnes)], Stationary_Combustion[Year], F18,  Stationary_Combustion[Facility ID], AB58:AB67)), SUMPRODUCT(SUMIFS(Table13[[#All],[Column15]], Table13[[#All],[Column1]], F18, Table13[[#All],[Column3]], AB58:AB67))),""), ""))</f>
        <v>0</v>
      </c>
      <c r="G85" s="783" cm="1">
        <f t="array" ref="G85">IF($D$55="Facility", SUM(SUMIFS(Stationary_Combustion[Biofuel CO2
(tonnes)], Stationary_Combustion[Year], G18, Stationary_Combustion[Facility ID], C79), SUMIFS(Table13[[#All],[Column15]], Table13[[#All],[Column1]], G18, Table13[[#All],[Column3]], C79)),_xlfn.IFNA(IF($D$55="Country",SUM(SUMPRODUCT(SUMIFS(Stationary_Combustion[Biofuel CO2
(tonnes)], Stationary_Combustion[Year], G18,  Stationary_Combustion[Facility ID], AB58:AB67)), SUMPRODUCT(SUMIFS(Table13[[#All],[Column15]], Table13[[#All],[Column1]], G18, Table13[[#All],[Column3]], AB58:AB67))),""), ""))</f>
        <v>0</v>
      </c>
      <c r="H85" s="783" cm="1">
        <f t="array" ref="H85">IF($D$55="Facility", SUM(SUMIFS(Stationary_Combustion[Biofuel CO2
(tonnes)], Stationary_Combustion[Year], H18, Stationary_Combustion[Facility ID], C79), SUMIFS(Table13[[#All],[Column15]], Table13[[#All],[Column1]], H18, Table13[[#All],[Column3]], C79)),_xlfn.IFNA(IF($D$55="Country",SUM(SUMPRODUCT(SUMIFS(Stationary_Combustion[Biofuel CO2
(tonnes)], Stationary_Combustion[Year], H18,  Stationary_Combustion[Facility ID], AB58:AB67)), SUMPRODUCT(SUMIFS(Table13[[#All],[Column15]], Table13[[#All],[Column1]], H18, Table13[[#All],[Column3]], AB58:AB67))),""), ""))</f>
        <v>0</v>
      </c>
      <c r="I85" s="783" cm="1">
        <f t="array" ref="I85">IF($D$55="Facility", SUM(SUMIFS(Stationary_Combustion[Biofuel CO2
(tonnes)], Stationary_Combustion[Year], I18, Stationary_Combustion[Facility ID], C79), SUMIFS(Table13[[#All],[Column15]], Table13[[#All],[Column1]], I18, Table13[[#All],[Column3]], C79)),_xlfn.IFNA(IF($D$55="Country",SUM(SUMPRODUCT(SUMIFS(Stationary_Combustion[Biofuel CO2
(tonnes)], Stationary_Combustion[Year], I18,  Stationary_Combustion[Facility ID], AB58:AB67)), SUMPRODUCT(SUMIFS(Table13[[#All],[Column15]], Table13[[#All],[Column1]], I18, Table13[[#All],[Column3]], AB58:AB67))),""), ""))</f>
        <v>0</v>
      </c>
      <c r="J85" s="783" cm="1">
        <f t="array" ref="J85">IF($D$55="Facility", SUM(SUMIFS(Stationary_Combustion[Biofuel CO2
(tonnes)], Stationary_Combustion[Year], J18, Stationary_Combustion[Facility ID], C79), SUMIFS(Table13[[#All],[Column15]], Table13[[#All],[Column1]], J18, Table13[[#All],[Column3]], C79)),_xlfn.IFNA(IF($D$55="Country",SUM(SUMPRODUCT(SUMIFS(Stationary_Combustion[Biofuel CO2
(tonnes)], Stationary_Combustion[Year], J18,  Stationary_Combustion[Facility ID], AB58:AB67)), SUMPRODUCT(SUMIFS(Table13[[#All],[Column15]], Table13[[#All],[Column1]], J18, Table13[[#All],[Column3]], AB58:AB67))),""), ""))</f>
        <v>0</v>
      </c>
      <c r="K85" s="780" cm="1">
        <f t="array" ref="K85">IF($D$55="Facility", SUM(SUMIFS(Stationary_Combustion[Biofuel CO2
(tonnes)], Stationary_Combustion[Year], K18, Stationary_Combustion[Facility ID], C79), SUMIFS(Table13[[#All],[Column15]], Table13[[#All],[Column1]], K18, Table13[[#All],[Column3]], C79)),_xlfn.IFNA(IF($D$55="Country",SUM(SUMPRODUCT(SUMIFS(Stationary_Combustion[Biofuel CO2
(tonnes)], Stationary_Combustion[Year], K18,  Stationary_Combustion[Facility ID], AB58:AB67)), SUMPRODUCT(SUMIFS(Table13[[#All],[Column15]], Table13[[#All],[Column1]], K18, Table13[[#All],[Column3]], AB58:AB67))),""), ""))</f>
        <v>0</v>
      </c>
      <c r="V85" s="311"/>
    </row>
    <row r="86" spans="1:22" ht="18.75">
      <c r="A86" s="311"/>
      <c r="C86" s="999">
        <f>IF($D$55="Facility",Parameters!F47,_xlfn.IFNA(IF($D$55="Country",X62,""),""))</f>
        <v>5</v>
      </c>
      <c r="D86" s="697" t="s">
        <v>95</v>
      </c>
      <c r="E86" s="698" t="s">
        <v>88</v>
      </c>
      <c r="F86" s="781" cm="1">
        <f t="array" ref="F86">IF($D$55="Facility", SUMIFS(Stationary_Combustion[CO2e (tonnes)], Stationary_Combustion[Year], F18, Stationary_Combustion[Facility ID], C86),_xlfn.IFNA(IF($D$55="Country",SUMPRODUCT(SUMIFS(Stationary_Combustion[CO2e (tonnes)], Stationary_Combustion[Year], F18, Stationary_Combustion[Facility ID], AC58:AC67)),""), ""))</f>
        <v>0</v>
      </c>
      <c r="G86" s="781" cm="1">
        <f t="array" ref="G86">IF($D$55="Facility", SUMIFS(Stationary_Combustion[CO2e (tonnes)], Stationary_Combustion[Year], G18, Stationary_Combustion[Facility ID], C86),_xlfn.IFNA(IF($D$55="Country",SUMPRODUCT(SUMIFS(Stationary_Combustion[CO2e (tonnes)], Stationary_Combustion[Year], G18, Stationary_Combustion[Facility ID], AC58:AC67)),""), ""))</f>
        <v>0</v>
      </c>
      <c r="H86" s="781" cm="1">
        <f t="array" ref="H86">IF($D$55="Facility", SUMIFS(Stationary_Combustion[CO2e (tonnes)], Stationary_Combustion[Year], H18, Stationary_Combustion[Facility ID], C86),_xlfn.IFNA(IF($D$55="Country",SUMPRODUCT(SUMIFS(Stationary_Combustion[CO2e (tonnes)], Stationary_Combustion[Year], H18, Stationary_Combustion[Facility ID], AC58:AC67)),""), ""))</f>
        <v>0</v>
      </c>
      <c r="I86" s="781" cm="1">
        <f t="array" ref="I86">IF($D$55="Facility", SUMIFS(Stationary_Combustion[CO2e (tonnes)], Stationary_Combustion[Year], I18, Stationary_Combustion[Facility ID], C86),_xlfn.IFNA(IF($D$55="Country",SUMPRODUCT(SUMIFS(Stationary_Combustion[CO2e (tonnes)], Stationary_Combustion[Year], I18, Stationary_Combustion[Facility ID], AC58:AC67)),""), ""))</f>
        <v>0</v>
      </c>
      <c r="J86" s="781" cm="1">
        <f t="array" ref="J86">IF($D$55="Facility", SUMIFS(Stationary_Combustion[CO2e (tonnes)], Stationary_Combustion[Year], J18, Stationary_Combustion[Facility ID], C86),_xlfn.IFNA(IF($D$55="Country",SUMPRODUCT(SUMIFS(Stationary_Combustion[CO2e (tonnes)], Stationary_Combustion[Year], J18, Stationary_Combustion[Facility ID], AC58:AC67)),""), ""))</f>
        <v>0</v>
      </c>
      <c r="K86" s="782" cm="1">
        <f t="array" ref="K86">IF($D$55="Facility", SUMIFS(Stationary_Combustion[CO2e (tonnes)], Stationary_Combustion[Year], K18, Stationary_Combustion[Facility ID], C86),_xlfn.IFNA(IF($D$55="Country",SUMPRODUCT(SUMIFS(Stationary_Combustion[CO2e (tonnes)], Stationary_Combustion[Year], K18, Stationary_Combustion[Facility ID], AC58:AC67)),""), ""))</f>
        <v>0</v>
      </c>
      <c r="V86" s="311"/>
    </row>
    <row r="87" spans="1:22" ht="18.75">
      <c r="A87" s="311"/>
      <c r="C87" s="1000"/>
      <c r="D87" s="699"/>
      <c r="E87" s="421" t="s">
        <v>89</v>
      </c>
      <c r="F87" s="772" cm="1">
        <f t="array" ref="F87">IF($D$55="Facility", SUMIFS(Table13[[#All],[Column14]], Table13[[#All],[Column1]], F18, Table13[[#All],[Column3]], C86),_xlfn.IFNA(IF($D$55="Country",SUMPRODUCT(SUMIFS(Table13[[#All],[Column14]], Table13[[#All],[Column1]], F18, Table13[[#All],[Column3]], AC58:AC67)),""), ""))</f>
        <v>0</v>
      </c>
      <c r="G87" s="772" cm="1">
        <f t="array" ref="G87">IF($D$55="Facility", SUMIFS(Table13[[#All],[Column14]], Table13[[#All],[Column1]], G18, Table13[[#All],[Column3]], C86),_xlfn.IFNA(IF($D$55="Country",SUMPRODUCT(SUMIFS(Table13[[#All],[Column14]], Table13[[#All],[Column1]], G18, Table13[[#All],[Column3]], AC58:AC67)),""), ""))</f>
        <v>0</v>
      </c>
      <c r="H87" s="772" cm="1">
        <f t="array" ref="H87">IF($D$55="Facility", SUMIFS(Table13[[#All],[Column14]], Table13[[#All],[Column1]], H18, Table13[[#All],[Column3]], C86),_xlfn.IFNA(IF($D$55="Country",SUMPRODUCT(SUMIFS(Table13[[#All],[Column14]], Table13[[#All],[Column1]], H18, Table13[[#All],[Column3]], AC58:AC67)),""), ""))</f>
        <v>0</v>
      </c>
      <c r="I87" s="772" cm="1">
        <f t="array" ref="I87">IF($D$55="Facility", SUMIFS(Table13[[#All],[Column14]], Table13[[#All],[Column1]], I18, Table13[[#All],[Column3]], C86),_xlfn.IFNA(IF($D$55="Country",SUMPRODUCT(SUMIFS(Table13[[#All],[Column14]], Table13[[#All],[Column1]], I18, Table13[[#All],[Column3]], AC58:AC67)),""), ""))</f>
        <v>0</v>
      </c>
      <c r="J87" s="772" cm="1">
        <f t="array" ref="J87">IF($D$55="Facility", SUMIFS(Table13[[#All],[Column14]], Table13[[#All],[Column1]], J18, Table13[[#All],[Column3]], C86),_xlfn.IFNA(IF($D$55="Country",SUMPRODUCT(SUMIFS(Table13[[#All],[Column14]], Table13[[#All],[Column1]], J18, Table13[[#All],[Column3]], AC58:AC67)),""), ""))</f>
        <v>0</v>
      </c>
      <c r="K87" s="777" cm="1">
        <f t="array" ref="K87">IF($D$55="Facility", SUMIFS(Table13[[#All],[Column14]], Table13[[#All],[Column1]], K18, Table13[[#All],[Column3]], C86),_xlfn.IFNA(IF($D$55="Country",SUMPRODUCT(SUMIFS(Table13[[#All],[Column14]], Table13[[#All],[Column1]], K18, Table13[[#All],[Column3]], AC58:AC67)),""), ""))</f>
        <v>0</v>
      </c>
      <c r="V87" s="311"/>
    </row>
    <row r="88" spans="1:22" ht="18.75">
      <c r="A88" s="311"/>
      <c r="C88" s="1000"/>
      <c r="D88" s="701"/>
      <c r="E88" s="423" t="s">
        <v>1437</v>
      </c>
      <c r="F88" s="773" cm="1">
        <f t="array" ref="F88">IF($D$55="Facility", SUM(SUMIFS('S1-Refrigerants'!P35:P52, 'S1-Refrigerants'!$B$35:$B$52, F18, 'S1-Refrigerants'!$C$35:$C$52, C86), SUMIFS('S1-Refrigerants'!U65:U82, 'S1-Refrigerants'!$B$65:$B$82, F18, 'S1-Refrigerants'!$C$65:$C$82, C86), SUMIFS('S1-Refrigerants'!O95:O112, 'S1-Refrigerants'!$B$95:$B$112, F18, 'S1-Refrigerants'!$C$95:$C$112, C86)), _xlfn.IFNA(IF($D$55="Country", SUM(SUMPRODUCT(SUMIFS('S1-Refrigerants'!$P$35:$P$52, 'S1-Refrigerants'!$B$35:$B$52, F18, 'S1-Refrigerants'!$C$35:$C$52, AC58:AC67)), SUMPRODUCT(SUMIFS('S1-Refrigerants'!$U$65:$U$82, 'S1-Refrigerants'!$B$65:$B$82, F18, 'S1-Refrigerants'!$C$65:$C$82, AC58:AC67)), SUMPRODUCT(SUMIFS('S1-Refrigerants'!$O$95:$O$112, 'S1-Refrigerants'!$B$95:$B$112, F18, 'S1-Refrigerants'!$C$95:$C$112, AC58:AC67)))),""))</f>
        <v>0</v>
      </c>
      <c r="G88" s="773" cm="1">
        <f t="array" ref="G88">IF($D$55="Facility", SUM(SUMIFS('S1-Refrigerants'!P35:P52, 'S1-Refrigerants'!$B$35:$B$52, G18, 'S1-Refrigerants'!$C$35:$C$52, C86), SUMIFS('S1-Refrigerants'!U65:U82, 'S1-Refrigerants'!$B$65:$B$82, G18, 'S1-Refrigerants'!$C$65:$C$82, C86), SUMIFS('S1-Refrigerants'!O95:O112, 'S1-Refrigerants'!$B$95:$B$112, G18, 'S1-Refrigerants'!$C$95:$C$112, C86)), _xlfn.IFNA(IF($D$55="Country", SUM(SUMPRODUCT(SUMIFS('S1-Refrigerants'!$P$35:$P$52, 'S1-Refrigerants'!$B$35:$B$52, G18, 'S1-Refrigerants'!$C$35:$C$52, AC58:AC67)), SUMPRODUCT(SUMIFS('S1-Refrigerants'!$U$65:$U$82, 'S1-Refrigerants'!$B$65:$B$82, G18, 'S1-Refrigerants'!$C$65:$C$82, AC58:AC67)), SUMPRODUCT(SUMIFS('S1-Refrigerants'!$O$95:$O$112, 'S1-Refrigerants'!$B$95:$B$112, G18, 'S1-Refrigerants'!$C$95:$C$112, AC58:AC67)))),""))</f>
        <v>0</v>
      </c>
      <c r="H88" s="773" cm="1">
        <f t="array" ref="H88">IF($D$55="Facility", SUM(SUMIFS('S1-Refrigerants'!P35:P52, 'S1-Refrigerants'!$B$35:$B$52, H18, 'S1-Refrigerants'!$C$35:$C$52, C86), SUMIFS('S1-Refrigerants'!U65:U82, 'S1-Refrigerants'!$B$65:$B$82, H18, 'S1-Refrigerants'!$C$65:$C$82, C86), SUMIFS('S1-Refrigerants'!O95:O112, 'S1-Refrigerants'!$B$95:$B$112, H18, 'S1-Refrigerants'!$C$95:$C$112, C86)), _xlfn.IFNA(IF($D$55="Country", SUM(SUMPRODUCT(SUMIFS('S1-Refrigerants'!$P$35:$P$52, 'S1-Refrigerants'!$B$35:$B$52, H18, 'S1-Refrigerants'!$C$35:$C$52, AC58:AC67)), SUMPRODUCT(SUMIFS('S1-Refrigerants'!$U$65:$U$82, 'S1-Refrigerants'!$B$65:$B$82, H18, 'S1-Refrigerants'!$C$65:$C$82, AC58:AC67)), SUMPRODUCT(SUMIFS('S1-Refrigerants'!$O$95:$O$112, 'S1-Refrigerants'!$B$95:$B$112, H18, 'S1-Refrigerants'!$C$95:$C$112, AC58:AC67)))),""))</f>
        <v>0</v>
      </c>
      <c r="I88" s="773" cm="1">
        <f t="array" ref="I88">IF($D$55="Facility", SUM(SUMIFS('S1-Refrigerants'!P35:P52, 'S1-Refrigerants'!$B$35:$B$52, I18, 'S1-Refrigerants'!$C$35:$C$52, C86), SUMIFS('S1-Refrigerants'!U65:U82, 'S1-Refrigerants'!$B$65:$B$82, I18, 'S1-Refrigerants'!$C$65:$C$82, C86), SUMIFS('S1-Refrigerants'!O95:O112, 'S1-Refrigerants'!$B$95:$B$112, I18, 'S1-Refrigerants'!$C$95:$C$112, C86)), _xlfn.IFNA(IF($D$55="Country", SUM(SUMPRODUCT(SUMIFS('S1-Refrigerants'!$P$35:$P$52, 'S1-Refrigerants'!$B$35:$B$52, I18, 'S1-Refrigerants'!$C$35:$C$52, AC58:AC67)), SUMPRODUCT(SUMIFS('S1-Refrigerants'!$U$65:$U$82, 'S1-Refrigerants'!$B$65:$B$82, I18, 'S1-Refrigerants'!$C$65:$C$82, AC58:AC67)), SUMPRODUCT(SUMIFS('S1-Refrigerants'!$O$95:$O$112, 'S1-Refrigerants'!$B$95:$B$112, I18, 'S1-Refrigerants'!$C$95:$C$112, AC58:AC67)))),""))</f>
        <v>0</v>
      </c>
      <c r="J88" s="773" cm="1">
        <f t="array" ref="J88">IF($D$55="Facility", SUM(SUMIFS('S1-Refrigerants'!P35:P52, 'S1-Refrigerants'!$B$35:$B$52, J18, 'S1-Refrigerants'!$C$35:$C$52, C86), SUMIFS('S1-Refrigerants'!U65:U82, 'S1-Refrigerants'!$B$65:$B$82, J18, 'S1-Refrigerants'!$C$65:$C$82, C86), SUMIFS('S1-Refrigerants'!O95:O112, 'S1-Refrigerants'!$B$95:$B$112, J18, 'S1-Refrigerants'!$C$95:$C$112, C86)), _xlfn.IFNA(IF($D$55="Country", SUM(SUMPRODUCT(SUMIFS('S1-Refrigerants'!$P$35:$P$52, 'S1-Refrigerants'!$B$35:$B$52, J18, 'S1-Refrigerants'!$C$35:$C$52, AC58:AC67)), SUMPRODUCT(SUMIFS('S1-Refrigerants'!$U$65:$U$82, 'S1-Refrigerants'!$B$65:$B$82, J18, 'S1-Refrigerants'!$C$65:$C$82, AC58:AC67)), SUMPRODUCT(SUMIFS('S1-Refrigerants'!$O$95:$O$112, 'S1-Refrigerants'!$B$95:$B$112, J18, 'S1-Refrigerants'!$C$95:$C$112, AC58:AC67)))),""))</f>
        <v>0</v>
      </c>
      <c r="K88" s="778" cm="1">
        <f t="array" ref="K88">IF($D$55="Facility", SUM(SUMIFS('S1-Refrigerants'!P35:P52, 'S1-Refrigerants'!$B$35:$B$52, K18, 'S1-Refrigerants'!$C$35:$C$52, C86), SUMIFS('S1-Refrigerants'!U65:U82, 'S1-Refrigerants'!$B$65:$B$82, K18, 'S1-Refrigerants'!$C$65:$C$82, C86), SUMIFS('S1-Refrigerants'!O95:O112, 'S1-Refrigerants'!$B$95:$B$112, K18, 'S1-Refrigerants'!$C$95:$C$112, C86)), _xlfn.IFNA(IF($D$55="Country", SUM(SUMPRODUCT(SUMIFS('S1-Refrigerants'!$P$35:$P$52, 'S1-Refrigerants'!$B$35:$B$52, K18, 'S1-Refrigerants'!$C$35:$C$52, AC58:AC67)), SUMPRODUCT(SUMIFS('S1-Refrigerants'!$U$65:$U$82, 'S1-Refrigerants'!$B$65:$B$82, K18, 'S1-Refrigerants'!$C$65:$C$82, AC58:AC67)), SUMPRODUCT(SUMIFS('S1-Refrigerants'!$O$95:$O$112, 'S1-Refrigerants'!$B$95:$B$112, K18, 'S1-Refrigerants'!$C$95:$C$112, AC58:AC67)))),""))</f>
        <v>0</v>
      </c>
      <c r="V88" s="311"/>
    </row>
    <row r="89" spans="1:22" ht="18.75">
      <c r="A89" s="311"/>
      <c r="C89" s="1000"/>
      <c r="D89" s="700" t="s">
        <v>100</v>
      </c>
      <c r="E89" s="776" t="s">
        <v>1438</v>
      </c>
      <c r="F89" s="774" cm="1">
        <f t="array" ref="F89">IF($D$55="Facility", SUMIFS(Purchased_Electricity[CO2e (tonnes)], Purchased_Electricity[Year], F18, Purchased_Electricity[Calculation Approach], Dropdowns!$S$2, Purchased_Electricity[Facility ID], C86), _xlfn.IFNA(IF($D$55="Country",SUMPRODUCT(SUMIFS(Purchased_Electricity[CO2e (tonnes)], Purchased_Electricity[Year], F18, Purchased_Electricity[Calculation Approach], Dropdowns!$S$2, Purchased_Electricity[Facility ID], AC58:AC67)),""), ""))</f>
        <v>0</v>
      </c>
      <c r="G89" s="774" cm="1">
        <f t="array" ref="G89">IF($D$55="Facility", SUMIFS(Purchased_Electricity[CO2e (tonnes)], Purchased_Electricity[Year], G18, Purchased_Electricity[Calculation Approach], Dropdowns!$S$2, Purchased_Electricity[Facility ID], C86), _xlfn.IFNA(IF($D$55="Country",SUMPRODUCT(SUMIFS(Purchased_Electricity[CO2e (tonnes)], Purchased_Electricity[Year], G18, Purchased_Electricity[Calculation Approach], Dropdowns!$S$2, Purchased_Electricity[Facility ID], AC58:AC67)),""), ""))</f>
        <v>0</v>
      </c>
      <c r="H89" s="774" cm="1">
        <f t="array" ref="H89">IF($D$55="Facility", SUMIFS(Purchased_Electricity[CO2e (tonnes)], Purchased_Electricity[Year], H18, Purchased_Electricity[Calculation Approach], Dropdowns!$S$2, Purchased_Electricity[Facility ID], C86), _xlfn.IFNA(IF($D$55="Country",SUMPRODUCT(SUMIFS(Purchased_Electricity[CO2e (tonnes)], Purchased_Electricity[Year], H18, Purchased_Electricity[Calculation Approach], Dropdowns!$S$2, Purchased_Electricity[Facility ID], AC58:AC67)),""), ""))</f>
        <v>0</v>
      </c>
      <c r="I89" s="774" cm="1">
        <f t="array" ref="I89">IF($D$55="Facility", SUMIFS(Purchased_Electricity[CO2e (tonnes)], Purchased_Electricity[Year], I18, Purchased_Electricity[Calculation Approach], Dropdowns!$S$2, Purchased_Electricity[Facility ID], C86), _xlfn.IFNA(IF($D$55="Country",SUMPRODUCT(SUMIFS(Purchased_Electricity[CO2e (tonnes)], Purchased_Electricity[Year], I18, Purchased_Electricity[Calculation Approach], Dropdowns!$S$2, Purchased_Electricity[Facility ID], AC58:AC67)),""), ""))</f>
        <v>0</v>
      </c>
      <c r="J89" s="774" cm="1">
        <f t="array" ref="J89">IF($D$55="Facility", SUMIFS(Purchased_Electricity[CO2e (tonnes)], Purchased_Electricity[Year], J18, Purchased_Electricity[Calculation Approach], Dropdowns!$S$2, Purchased_Electricity[Facility ID], C86), _xlfn.IFNA(IF($D$55="Country",SUMPRODUCT(SUMIFS(Purchased_Electricity[CO2e (tonnes)], Purchased_Electricity[Year], J18, Purchased_Electricity[Calculation Approach], Dropdowns!$S$2, Purchased_Electricity[Facility ID], AC58:AC67)),""), ""))</f>
        <v>0</v>
      </c>
      <c r="K89" s="779" cm="1">
        <f t="array" ref="K89">IF($D$55="Facility", SUMIFS(Purchased_Electricity[CO2e (tonnes)], Purchased_Electricity[Year], K18, Purchased_Electricity[Calculation Approach], Dropdowns!$S$2, Purchased_Electricity[Facility ID], C86), _xlfn.IFNA(IF($D$55="Country",SUMPRODUCT(SUMIFS(Purchased_Electricity[CO2e (tonnes)], Purchased_Electricity[Year], K18, Purchased_Electricity[Calculation Approach], Dropdowns!$S$2, Purchased_Electricity[Facility ID], AC58:AC67)),""), ""))</f>
        <v>0</v>
      </c>
      <c r="V89" s="311"/>
    </row>
    <row r="90" spans="1:22" ht="18.75">
      <c r="A90" s="311"/>
      <c r="C90" s="1000"/>
      <c r="D90" s="699"/>
      <c r="E90" s="776" t="s">
        <v>1439</v>
      </c>
      <c r="F90" s="772" cm="1">
        <f t="array" ref="F90">IF($D$55="Facility", SUMIFS(Purchased_Electricity[CO2e (tonnes)], Purchased_Electricity[Year], F18, Purchased_Electricity[Calculation Approach], Dropdowns!$S$3, Purchased_Electricity[Facility ID], C86), _xlfn.IFNA(IF($D$55="Country",SUMPRODUCT(SUMIFS(Purchased_Electricity[CO2e (tonnes)], Purchased_Electricity[Year], F18, Purchased_Electricity[Calculation Approach], Dropdowns!$S$3, Purchased_Electricity[Facility ID], AC58:AC67)),""), ""))</f>
        <v>0</v>
      </c>
      <c r="G90" s="772" cm="1">
        <f t="array" ref="G90">IF($D$55="Facility", SUMIFS(Purchased_Electricity[CO2e (tonnes)], Purchased_Electricity[Year], G18, Purchased_Electricity[Calculation Approach], Dropdowns!$S$3, Purchased_Electricity[Facility ID], C86), _xlfn.IFNA(IF($D$55="Country",SUMPRODUCT(SUMIFS(Purchased_Electricity[CO2e (tonnes)], Purchased_Electricity[Year], G18, Purchased_Electricity[Calculation Approach], Dropdowns!$S$3, Purchased_Electricity[Facility ID], AC58:AC67)),""), ""))</f>
        <v>0</v>
      </c>
      <c r="H90" s="772" cm="1">
        <f t="array" ref="H90">IF($D$55="Facility", SUMIFS(Purchased_Electricity[CO2e (tonnes)], Purchased_Electricity[Year], H18, Purchased_Electricity[Calculation Approach], Dropdowns!$S$3, Purchased_Electricity[Facility ID], C86), _xlfn.IFNA(IF($D$55="Country",SUMPRODUCT(SUMIFS(Purchased_Electricity[CO2e (tonnes)], Purchased_Electricity[Year], H18, Purchased_Electricity[Calculation Approach], Dropdowns!$S$3, Purchased_Electricity[Facility ID], AC58:AC67)),""), ""))</f>
        <v>0</v>
      </c>
      <c r="I90" s="772" cm="1">
        <f t="array" ref="I90">IF($D$55="Facility", SUMIFS(Purchased_Electricity[CO2e (tonnes)], Purchased_Electricity[Year], I18, Purchased_Electricity[Calculation Approach], Dropdowns!$S$3, Purchased_Electricity[Facility ID], C86), _xlfn.IFNA(IF($D$55="Country",SUMPRODUCT(SUMIFS(Purchased_Electricity[CO2e (tonnes)], Purchased_Electricity[Year], I18, Purchased_Electricity[Calculation Approach], Dropdowns!$S$3, Purchased_Electricity[Facility ID], AC58:AC67)),""), ""))</f>
        <v>0</v>
      </c>
      <c r="J90" s="772" cm="1">
        <f t="array" ref="J90">IF($D$55="Facility", SUMIFS(Purchased_Electricity[CO2e (tonnes)], Purchased_Electricity[Year], J18, Purchased_Electricity[Calculation Approach], Dropdowns!$S$3, Purchased_Electricity[Facility ID], C86), _xlfn.IFNA(IF($D$55="Country",SUMPRODUCT(SUMIFS(Purchased_Electricity[CO2e (tonnes)], Purchased_Electricity[Year], J18, Purchased_Electricity[Calculation Approach], Dropdowns!$S$3, Purchased_Electricity[Facility ID], AC58:AC67)),""), ""))</f>
        <v>0</v>
      </c>
      <c r="K90" s="777" cm="1">
        <f t="array" ref="K90">IF($D$55="Facility", SUMIFS(Purchased_Electricity[CO2e (tonnes)], Purchased_Electricity[Year], K18, Purchased_Electricity[Calculation Approach], Dropdowns!$S$3, Purchased_Electricity[Facility ID], C86), _xlfn.IFNA(IF($D$55="Country",SUMPRODUCT(SUMIFS(Purchased_Electricity[CO2e (tonnes)], Purchased_Electricity[Year], K18, Purchased_Electricity[Calculation Approach], Dropdowns!$S$3, Purchased_Electricity[Facility ID], AC58:AC67)),""), ""))</f>
        <v>0</v>
      </c>
      <c r="V90" s="311"/>
    </row>
    <row r="91" spans="1:22" ht="18.75">
      <c r="A91" s="311"/>
      <c r="C91" s="1000"/>
      <c r="D91" s="701"/>
      <c r="E91" s="423" t="s">
        <v>1440</v>
      </c>
      <c r="F91" s="773" cm="1">
        <f t="array" ref="F91">IF($D$55="Facility", SUMIFS(Purchased_Electricity[CO2e (tonnes)], Purchased_Electricity[Year], F18, Purchased_Electricity[Calculation Approach], Dropdowns!$S$4, Purchased_Electricity[Facility ID], C86), _xlfn.IFNA(IF($D$55="Country",SUMPRODUCT(SUMIFS(Purchased_Electricity[CO2e (tonnes)], Purchased_Electricity[Year], F18, Purchased_Electricity[Calculation Approach], Dropdowns!$S$4, Purchased_Electricity[Facility ID], AC58:AC67)),""), ""))</f>
        <v>0</v>
      </c>
      <c r="G91" s="773" cm="1">
        <f t="array" ref="G91">IF($D$55="Facility", SUMIFS(Purchased_Electricity[CO2e (tonnes)], Purchased_Electricity[Year], G18, Purchased_Electricity[Calculation Approach], Dropdowns!$S$4, Purchased_Electricity[Facility ID], C86), _xlfn.IFNA(IF($D$55="Country",SUMPRODUCT(SUMIFS(Purchased_Electricity[CO2e (tonnes)], Purchased_Electricity[Year], G18, Purchased_Electricity[Calculation Approach], Dropdowns!$S$4, Purchased_Electricity[Facility ID], AC58:AC67)),""), ""))</f>
        <v>0</v>
      </c>
      <c r="H91" s="773" cm="1">
        <f t="array" ref="H91">IF($D$55="Facility", SUMIFS(Purchased_Electricity[CO2e (tonnes)], Purchased_Electricity[Year], H18, Purchased_Electricity[Calculation Approach], Dropdowns!$S$4, Purchased_Electricity[Facility ID], C86), _xlfn.IFNA(IF($D$55="Country",SUMPRODUCT(SUMIFS(Purchased_Electricity[CO2e (tonnes)], Purchased_Electricity[Year], H18, Purchased_Electricity[Calculation Approach], Dropdowns!$S$4, Purchased_Electricity[Facility ID], AC58:AC67)),""), ""))</f>
        <v>0</v>
      </c>
      <c r="I91" s="773" cm="1">
        <f t="array" ref="I91">IF($D$55="Facility", SUMIFS(Purchased_Electricity[CO2e (tonnes)], Purchased_Electricity[Year], I18, Purchased_Electricity[Calculation Approach], Dropdowns!$S$4, Purchased_Electricity[Facility ID], C86), _xlfn.IFNA(IF($D$55="Country",SUMPRODUCT(SUMIFS(Purchased_Electricity[CO2e (tonnes)], Purchased_Electricity[Year], I18, Purchased_Electricity[Calculation Approach], Dropdowns!$S$4, Purchased_Electricity[Facility ID], AC58:AC67)),""), ""))</f>
        <v>0</v>
      </c>
      <c r="J91" s="773" cm="1">
        <f t="array" ref="J91">IF($D$55="Facility", SUMIFS(Purchased_Electricity[CO2e (tonnes)], Purchased_Electricity[Year], J18, Purchased_Electricity[Calculation Approach], Dropdowns!$S$4, Purchased_Electricity[Facility ID], C86), _xlfn.IFNA(IF($D$55="Country",SUMPRODUCT(SUMIFS(Purchased_Electricity[CO2e (tonnes)], Purchased_Electricity[Year], J18, Purchased_Electricity[Calculation Approach], Dropdowns!$S$4, Purchased_Electricity[Facility ID], AC58:AC67)),""), ""))</f>
        <v>0</v>
      </c>
      <c r="K91" s="778" cm="1">
        <f t="array" ref="K91">IF($D$55="Facility", SUMIFS(Purchased_Electricity[CO2e (tonnes)], Purchased_Electricity[Year], K18, Purchased_Electricity[Calculation Approach], Dropdowns!$S$4, Purchased_Electricity[Facility ID], C86), _xlfn.IFNA(IF($D$55="Country",SUMPRODUCT(SUMIFS(Purchased_Electricity[CO2e (tonnes)], Purchased_Electricity[Year], K18, Purchased_Electricity[Calculation Approach], Dropdowns!$S$4, Purchased_Electricity[Facility ID], AC58:AC67)),""), ""))</f>
        <v>0</v>
      </c>
      <c r="V91" s="311"/>
    </row>
    <row r="92" spans="1:22" ht="19.5" thickBot="1">
      <c r="A92" s="311"/>
      <c r="C92" s="1001"/>
      <c r="D92" s="702" t="s">
        <v>1430</v>
      </c>
      <c r="E92" s="703"/>
      <c r="F92" s="783" cm="1">
        <f t="array" ref="F92">IF($D$55="Facility", SUM(SUMIFS(Stationary_Combustion[Biofuel CO2
(tonnes)], Stationary_Combustion[Year], F18, Stationary_Combustion[Facility ID], C86), SUMIFS(Table13[[#All],[Column15]], Table13[[#All],[Column1]], F18, Table13[[#All],[Column3]], C86)),_xlfn.IFNA(IF($D$55="Country",SUM(SUMPRODUCT(SUMIFS(Stationary_Combustion[Biofuel CO2
(tonnes)], Stationary_Combustion[Year], F18,  Stationary_Combustion[Facility ID], AC58:AC67)), SUMPRODUCT(SUMIFS(Table13[[#All],[Column15]], Table13[[#All],[Column1]], F18, Table13[[#All],[Column3]], AC58:AC67))),""), ""))</f>
        <v>0</v>
      </c>
      <c r="G92" s="783" cm="1">
        <f t="array" ref="G92">IF($D$55="Facility", SUM(SUMIFS(Stationary_Combustion[Biofuel CO2
(tonnes)], Stationary_Combustion[Year], G18, Stationary_Combustion[Facility ID], C86), SUMIFS(Table13[[#All],[Column15]], Table13[[#All],[Column1]], G18, Table13[[#All],[Column3]], C86)),_xlfn.IFNA(IF($D$55="Country",SUM(SUMPRODUCT(SUMIFS(Stationary_Combustion[Biofuel CO2
(tonnes)], Stationary_Combustion[Year], G18,  Stationary_Combustion[Facility ID], AC58:AC67)), SUMPRODUCT(SUMIFS(Table13[[#All],[Column15]], Table13[[#All],[Column1]], G18, Table13[[#All],[Column3]], AC58:AC67))),""), ""))</f>
        <v>0</v>
      </c>
      <c r="H92" s="783" cm="1">
        <f t="array" ref="H92">IF($D$55="Facility", SUM(SUMIFS(Stationary_Combustion[Biofuel CO2
(tonnes)], Stationary_Combustion[Year], H18, Stationary_Combustion[Facility ID], C86), SUMIFS(Table13[[#All],[Column15]], Table13[[#All],[Column1]], H18, Table13[[#All],[Column3]], C86)),_xlfn.IFNA(IF($D$55="Country",SUM(SUMPRODUCT(SUMIFS(Stationary_Combustion[Biofuel CO2
(tonnes)], Stationary_Combustion[Year], H18,  Stationary_Combustion[Facility ID], AC58:AC67)), SUMPRODUCT(SUMIFS(Table13[[#All],[Column15]], Table13[[#All],[Column1]], H18, Table13[[#All],[Column3]], AC58:AC67))),""), ""))</f>
        <v>0</v>
      </c>
      <c r="I92" s="783" cm="1">
        <f t="array" ref="I92">IF($D$55="Facility", SUM(SUMIFS(Stationary_Combustion[Biofuel CO2
(tonnes)], Stationary_Combustion[Year], I18, Stationary_Combustion[Facility ID], C86), SUMIFS(Table13[[#All],[Column15]], Table13[[#All],[Column1]], I18, Table13[[#All],[Column3]], C86)),_xlfn.IFNA(IF($D$55="Country",SUM(SUMPRODUCT(SUMIFS(Stationary_Combustion[Biofuel CO2
(tonnes)], Stationary_Combustion[Year], I18,  Stationary_Combustion[Facility ID], AC58:AC67)), SUMPRODUCT(SUMIFS(Table13[[#All],[Column15]], Table13[[#All],[Column1]], I18, Table13[[#All],[Column3]], AC58:AC67))),""), ""))</f>
        <v>0</v>
      </c>
      <c r="J92" s="783" cm="1">
        <f t="array" ref="J92">IF($D$55="Facility", SUM(SUMIFS(Stationary_Combustion[Biofuel CO2
(tonnes)], Stationary_Combustion[Year], J18, Stationary_Combustion[Facility ID], C86), SUMIFS(Table13[[#All],[Column15]], Table13[[#All],[Column1]], J18, Table13[[#All],[Column3]], C86)),_xlfn.IFNA(IF($D$55="Country",SUM(SUMPRODUCT(SUMIFS(Stationary_Combustion[Biofuel CO2
(tonnes)], Stationary_Combustion[Year], J18,  Stationary_Combustion[Facility ID], AC58:AC67)), SUMPRODUCT(SUMIFS(Table13[[#All],[Column15]], Table13[[#All],[Column1]], J18, Table13[[#All],[Column3]], AC58:AC67))),""), ""))</f>
        <v>0</v>
      </c>
      <c r="K92" s="780" cm="1">
        <f t="array" ref="K92">IF($D$55="Facility", SUM(SUMIFS(Stationary_Combustion[Biofuel CO2
(tonnes)], Stationary_Combustion[Year], K18, Stationary_Combustion[Facility ID], C86), SUMIFS(Table13[[#All],[Column15]], Table13[[#All],[Column1]], K18, Table13[[#All],[Column3]], C86)),_xlfn.IFNA(IF($D$55="Country",SUM(SUMPRODUCT(SUMIFS(Stationary_Combustion[Biofuel CO2
(tonnes)], Stationary_Combustion[Year], K18,  Stationary_Combustion[Facility ID], AC58:AC67)), SUMPRODUCT(SUMIFS(Table13[[#All],[Column15]], Table13[[#All],[Column1]], K18, Table13[[#All],[Column3]], AC58:AC67))),""), ""))</f>
        <v>0</v>
      </c>
      <c r="V92" s="311"/>
    </row>
    <row r="93" spans="1:22" ht="18.75">
      <c r="A93" s="311"/>
      <c r="C93" s="999">
        <f>IF($D$55="Facility",Parameters!F48,_xlfn.IFNA(IF($D$55="Country",X63,""),""))</f>
        <v>6</v>
      </c>
      <c r="D93" s="697" t="s">
        <v>95</v>
      </c>
      <c r="E93" s="698" t="s">
        <v>88</v>
      </c>
      <c r="F93" s="781" cm="1">
        <f t="array" ref="F93">IF($D$55="Facility", SUMIFS(Stationary_Combustion[CO2e (tonnes)], Stationary_Combustion[Year], F18, Stationary_Combustion[Facility ID], C93),_xlfn.IFNA(IF($D$55="Country",SUMPRODUCT(SUMIFS(Stationary_Combustion[CO2e (tonnes)], Stationary_Combustion[Year], F18, Stationary_Combustion[Facility ID], AD58:AD67)),""), ""))</f>
        <v>0</v>
      </c>
      <c r="G93" s="781" cm="1">
        <f t="array" ref="G93">IF($D$55="Facility", SUMIFS(Stationary_Combustion[CO2e (tonnes)], Stationary_Combustion[Year], G18, Stationary_Combustion[Facility ID], C93),_xlfn.IFNA(IF($D$55="Country",SUMPRODUCT(SUMIFS(Stationary_Combustion[CO2e (tonnes)], Stationary_Combustion[Year], G18, Stationary_Combustion[Facility ID], AD58:AD67)),""), ""))</f>
        <v>0</v>
      </c>
      <c r="H93" s="781" cm="1">
        <f t="array" ref="H93">IF($D$55="Facility", SUMIFS(Stationary_Combustion[CO2e (tonnes)], Stationary_Combustion[Year], H18, Stationary_Combustion[Facility ID], C93),_xlfn.IFNA(IF($D$55="Country",SUMPRODUCT(SUMIFS(Stationary_Combustion[CO2e (tonnes)], Stationary_Combustion[Year], H18, Stationary_Combustion[Facility ID], AD58:AD67)),""), ""))</f>
        <v>0</v>
      </c>
      <c r="I93" s="781" cm="1">
        <f t="array" ref="I93">IF($D$55="Facility", SUMIFS(Stationary_Combustion[CO2e (tonnes)], Stationary_Combustion[Year], I18, Stationary_Combustion[Facility ID], C93),_xlfn.IFNA(IF($D$55="Country",SUMPRODUCT(SUMIFS(Stationary_Combustion[CO2e (tonnes)], Stationary_Combustion[Year], I18, Stationary_Combustion[Facility ID], AD58:AD67)),""), ""))</f>
        <v>0</v>
      </c>
      <c r="J93" s="781" cm="1">
        <f t="array" ref="J93">IF($D$55="Facility", SUMIFS(Stationary_Combustion[CO2e (tonnes)], Stationary_Combustion[Year], J18, Stationary_Combustion[Facility ID], C93),_xlfn.IFNA(IF($D$55="Country",SUMPRODUCT(SUMIFS(Stationary_Combustion[CO2e (tonnes)], Stationary_Combustion[Year], J18, Stationary_Combustion[Facility ID], AD58:AD67)),""), ""))</f>
        <v>0</v>
      </c>
      <c r="K93" s="782" cm="1">
        <f t="array" ref="K93">IF($D$55="Facility", SUMIFS(Stationary_Combustion[CO2e (tonnes)], Stationary_Combustion[Year], K18, Stationary_Combustion[Facility ID], C93),_xlfn.IFNA(IF($D$55="Country",SUMPRODUCT(SUMIFS(Stationary_Combustion[CO2e (tonnes)], Stationary_Combustion[Year], K18, Stationary_Combustion[Facility ID], AD58:AD67)),""), ""))</f>
        <v>0</v>
      </c>
      <c r="V93" s="311"/>
    </row>
    <row r="94" spans="1:22" ht="18.75">
      <c r="A94" s="311"/>
      <c r="C94" s="1000"/>
      <c r="D94" s="699"/>
      <c r="E94" s="421" t="s">
        <v>89</v>
      </c>
      <c r="F94" s="772" cm="1">
        <f t="array" ref="F94">IF($D$55="Facility", SUMIFS(Table13[[#All],[Column14]], Table13[[#All],[Column1]], F18, Table13[[#All],[Column3]], C93),_xlfn.IFNA(IF($D$55="Country",SUMPRODUCT(SUMIFS(Table13[[#All],[Column14]], Table13[[#All],[Column1]], F18, Table13[[#All],[Column3]], AD58:AD67)),""), ""))</f>
        <v>0</v>
      </c>
      <c r="G94" s="772" cm="1">
        <f t="array" ref="G94">IF($D$55="Facility", SUMIFS(Table13[[#All],[Column14]], Table13[[#All],[Column1]], G18, Table13[[#All],[Column3]], C93),_xlfn.IFNA(IF($D$55="Country",SUMPRODUCT(SUMIFS(Table13[[#All],[Column14]], Table13[[#All],[Column1]], G18, Table13[[#All],[Column3]], AD58:AD67)),""), ""))</f>
        <v>0</v>
      </c>
      <c r="H94" s="772" cm="1">
        <f t="array" ref="H94">IF($D$55="Facility", SUMIFS(Table13[[#All],[Column14]], Table13[[#All],[Column1]], H18, Table13[[#All],[Column3]], C93),_xlfn.IFNA(IF($D$55="Country",SUMPRODUCT(SUMIFS(Table13[[#All],[Column14]], Table13[[#All],[Column1]], H18, Table13[[#All],[Column3]], AD58:AD67)),""), ""))</f>
        <v>0</v>
      </c>
      <c r="I94" s="772" cm="1">
        <f t="array" ref="I94">IF($D$55="Facility", SUMIFS(Table13[[#All],[Column14]], Table13[[#All],[Column1]], I18, Table13[[#All],[Column3]], C93),_xlfn.IFNA(IF($D$55="Country",SUMPRODUCT(SUMIFS(Table13[[#All],[Column14]], Table13[[#All],[Column1]], I18, Table13[[#All],[Column3]], AD58:AD67)),""), ""))</f>
        <v>0</v>
      </c>
      <c r="J94" s="772" cm="1">
        <f t="array" ref="J94">IF($D$55="Facility", SUMIFS(Table13[[#All],[Column14]], Table13[[#All],[Column1]], J18, Table13[[#All],[Column3]], C93),_xlfn.IFNA(IF($D$55="Country",SUMPRODUCT(SUMIFS(Table13[[#All],[Column14]], Table13[[#All],[Column1]], J18, Table13[[#All],[Column3]], AD58:AD67)),""), ""))</f>
        <v>0</v>
      </c>
      <c r="K94" s="777" cm="1">
        <f t="array" ref="K94">IF($D$55="Facility", SUMIFS(Table13[[#All],[Column14]], Table13[[#All],[Column1]], K18, Table13[[#All],[Column3]], C93),_xlfn.IFNA(IF($D$55="Country",SUMPRODUCT(SUMIFS(Table13[[#All],[Column14]], Table13[[#All],[Column1]], K18, Table13[[#All],[Column3]], AD58:AD67)),""), ""))</f>
        <v>0</v>
      </c>
      <c r="V94" s="311"/>
    </row>
    <row r="95" spans="1:22" ht="18.75">
      <c r="A95" s="311"/>
      <c r="C95" s="1000"/>
      <c r="D95" s="701"/>
      <c r="E95" s="423" t="s">
        <v>1437</v>
      </c>
      <c r="F95" s="773" cm="1">
        <f t="array" ref="F95">IF($D$55="Facility", SUM(SUMIFS('S1-Refrigerants'!P35:P52, 'S1-Refrigerants'!$B$35:$B$52, F18, 'S1-Refrigerants'!$C$35:$C$52, C93), SUMIFS('S1-Refrigerants'!U65:U82, 'S1-Refrigerants'!$B$65:$B$82, F18, 'S1-Refrigerants'!$C$65:$C$82, C93), SUMIFS('S1-Refrigerants'!O95:O112, 'S1-Refrigerants'!$B$95:$B$112, F18, 'S1-Refrigerants'!$C$95:$C$112, C93)), _xlfn.IFNA(IF($D$55="Country", SUM(SUMPRODUCT(SUMIFS('S1-Refrigerants'!$P$35:$P$52, 'S1-Refrigerants'!$B$35:$B$52, F18, 'S1-Refrigerants'!$C$35:$C$52, AD58:AD67)), SUMPRODUCT(SUMIFS('S1-Refrigerants'!$U$65:$U$82, 'S1-Refrigerants'!$B$65:$B$82, F18, 'S1-Refrigerants'!$C$65:$C$82, AD58:AD67)), SUMPRODUCT(SUMIFS('S1-Refrigerants'!$O$95:$O$112, 'S1-Refrigerants'!$B$95:$B$112, F18, 'S1-Refrigerants'!$C$95:$C$112, AD58:AD67)))),""))</f>
        <v>0</v>
      </c>
      <c r="G95" s="773" cm="1">
        <f t="array" ref="G95">IF($D$55="Facility", SUM(SUMIFS('S1-Refrigerants'!P35:P52, 'S1-Refrigerants'!$B$35:$B$52, G18, 'S1-Refrigerants'!$C$35:$C$52, C93), SUMIFS('S1-Refrigerants'!U65:U82, 'S1-Refrigerants'!$B$65:$B$82, G18, 'S1-Refrigerants'!$C$65:$C$82, C93), SUMIFS('S1-Refrigerants'!O95:O112, 'S1-Refrigerants'!$B$95:$B$112, G18, 'S1-Refrigerants'!$C$95:$C$112, C93)), _xlfn.IFNA(IF($D$55="Country", SUM(SUMPRODUCT(SUMIFS('S1-Refrigerants'!$P$35:$P$52, 'S1-Refrigerants'!$B$35:$B$52, G18, 'S1-Refrigerants'!$C$35:$C$52, AD58:AD67)), SUMPRODUCT(SUMIFS('S1-Refrigerants'!$U$65:$U$82, 'S1-Refrigerants'!$B$65:$B$82, G18, 'S1-Refrigerants'!$C$65:$C$82, AD58:AD67)), SUMPRODUCT(SUMIFS('S1-Refrigerants'!$O$95:$O$112, 'S1-Refrigerants'!$B$95:$B$112, G18, 'S1-Refrigerants'!$C$95:$C$112, AD58:AD67)))),""))</f>
        <v>0</v>
      </c>
      <c r="H95" s="773" cm="1">
        <f t="array" ref="H95">IF($D$55="Facility", SUM(SUMIFS('S1-Refrigerants'!P35:P52, 'S1-Refrigerants'!$B$35:$B$52, H18, 'S1-Refrigerants'!$C$35:$C$52, C93), SUMIFS('S1-Refrigerants'!U65:U82, 'S1-Refrigerants'!$B$65:$B$82, H18, 'S1-Refrigerants'!$C$65:$C$82, C93), SUMIFS('S1-Refrigerants'!O95:O112, 'S1-Refrigerants'!$B$95:$B$112, H18, 'S1-Refrigerants'!$C$95:$C$112, C93)), _xlfn.IFNA(IF($D$55="Country", SUM(SUMPRODUCT(SUMIFS('S1-Refrigerants'!$P$35:$P$52, 'S1-Refrigerants'!$B$35:$B$52, H18, 'S1-Refrigerants'!$C$35:$C$52, AD58:AD67)), SUMPRODUCT(SUMIFS('S1-Refrigerants'!$U$65:$U$82, 'S1-Refrigerants'!$B$65:$B$82, H18, 'S1-Refrigerants'!$C$65:$C$82, AD58:AD67)), SUMPRODUCT(SUMIFS('S1-Refrigerants'!$O$95:$O$112, 'S1-Refrigerants'!$B$95:$B$112, H18, 'S1-Refrigerants'!$C$95:$C$112, AD58:AD67)))),""))</f>
        <v>0</v>
      </c>
      <c r="I95" s="773" cm="1">
        <f t="array" ref="I95">IF($D$55="Facility", SUM(SUMIFS('S1-Refrigerants'!P35:P52, 'S1-Refrigerants'!$B$35:$B$52, I18, 'S1-Refrigerants'!$C$35:$C$52, C93), SUMIFS('S1-Refrigerants'!U65:U82, 'S1-Refrigerants'!$B$65:$B$82, I18, 'S1-Refrigerants'!$C$65:$C$82, C93), SUMIFS('S1-Refrigerants'!O95:O112, 'S1-Refrigerants'!$B$95:$B$112, I18, 'S1-Refrigerants'!$C$95:$C$112, C93)), _xlfn.IFNA(IF($D$55="Country", SUM(SUMPRODUCT(SUMIFS('S1-Refrigerants'!$P$35:$P$52, 'S1-Refrigerants'!$B$35:$B$52, I18, 'S1-Refrigerants'!$C$35:$C$52, AD58:AD67)), SUMPRODUCT(SUMIFS('S1-Refrigerants'!$U$65:$U$82, 'S1-Refrigerants'!$B$65:$B$82, I18, 'S1-Refrigerants'!$C$65:$C$82, AD58:AD67)), SUMPRODUCT(SUMIFS('S1-Refrigerants'!$O$95:$O$112, 'S1-Refrigerants'!$B$95:$B$112, I18, 'S1-Refrigerants'!$C$95:$C$112, AD58:AD67)))),""))</f>
        <v>0</v>
      </c>
      <c r="J95" s="773" cm="1">
        <f t="array" ref="J95">IF($D$55="Facility", SUM(SUMIFS('S1-Refrigerants'!P35:P52, 'S1-Refrigerants'!$B$35:$B$52, J18, 'S1-Refrigerants'!$C$35:$C$52, C93), SUMIFS('S1-Refrigerants'!U65:U82, 'S1-Refrigerants'!$B$65:$B$82, J18, 'S1-Refrigerants'!$C$65:$C$82, C93), SUMIFS('S1-Refrigerants'!O95:O112, 'S1-Refrigerants'!$B$95:$B$112, J18, 'S1-Refrigerants'!$C$95:$C$112, C93)), _xlfn.IFNA(IF($D$55="Country", SUM(SUMPRODUCT(SUMIFS('S1-Refrigerants'!$P$35:$P$52, 'S1-Refrigerants'!$B$35:$B$52, J18, 'S1-Refrigerants'!$C$35:$C$52, AD58:AD67)), SUMPRODUCT(SUMIFS('S1-Refrigerants'!$U$65:$U$82, 'S1-Refrigerants'!$B$65:$B$82, J18, 'S1-Refrigerants'!$C$65:$C$82, AD58:AD67)), SUMPRODUCT(SUMIFS('S1-Refrigerants'!$O$95:$O$112, 'S1-Refrigerants'!$B$95:$B$112, J18, 'S1-Refrigerants'!$C$95:$C$112, AD58:AD67)))),""))</f>
        <v>0</v>
      </c>
      <c r="K95" s="778" cm="1">
        <f t="array" ref="K95">IF($D$55="Facility", SUM(SUMIFS('S1-Refrigerants'!P35:P52, 'S1-Refrigerants'!$B$35:$B$52, K18, 'S1-Refrigerants'!$C$35:$C$52, C93), SUMIFS('S1-Refrigerants'!U65:U82, 'S1-Refrigerants'!$B$65:$B$82, K18, 'S1-Refrigerants'!$C$65:$C$82, C93), SUMIFS('S1-Refrigerants'!O95:O112, 'S1-Refrigerants'!$B$95:$B$112, K18, 'S1-Refrigerants'!$C$95:$C$112, C93)), _xlfn.IFNA(IF($D$55="Country", SUM(SUMPRODUCT(SUMIFS('S1-Refrigerants'!$P$35:$P$52, 'S1-Refrigerants'!$B$35:$B$52, K18, 'S1-Refrigerants'!$C$35:$C$52, AD58:AD67)), SUMPRODUCT(SUMIFS('S1-Refrigerants'!$U$65:$U$82, 'S1-Refrigerants'!$B$65:$B$82, K18, 'S1-Refrigerants'!$C$65:$C$82, AD58:AD67)), SUMPRODUCT(SUMIFS('S1-Refrigerants'!$O$95:$O$112, 'S1-Refrigerants'!$B$95:$B$112, K18, 'S1-Refrigerants'!$C$95:$C$112, AD58:AD67)))),""))</f>
        <v>0</v>
      </c>
      <c r="V95" s="311"/>
    </row>
    <row r="96" spans="1:22" ht="18.75">
      <c r="A96" s="311"/>
      <c r="C96" s="1000"/>
      <c r="D96" s="700" t="s">
        <v>100</v>
      </c>
      <c r="E96" s="776" t="s">
        <v>1438</v>
      </c>
      <c r="F96" s="774" cm="1">
        <f t="array" ref="F96">IF($D$55="Facility", SUMIFS(Purchased_Electricity[CO2e (tonnes)], Purchased_Electricity[Year], F18, Purchased_Electricity[Calculation Approach], Dropdowns!$S$2, Purchased_Electricity[Facility ID], C93), _xlfn.IFNA(IF($D$55="Country",SUMPRODUCT(SUMIFS(Purchased_Electricity[CO2e (tonnes)], Purchased_Electricity[Year], F18, Purchased_Electricity[Calculation Approach], Dropdowns!$S$2, Purchased_Electricity[Facility ID], AD58:AD67)),""), ""))</f>
        <v>0</v>
      </c>
      <c r="G96" s="774" cm="1">
        <f t="array" ref="G96">IF($D$55="Facility", SUMIFS(Purchased_Electricity[CO2e (tonnes)], Purchased_Electricity[Year], G18, Purchased_Electricity[Calculation Approach], Dropdowns!$S$2, Purchased_Electricity[Facility ID], C93), _xlfn.IFNA(IF($D$55="Country",SUMPRODUCT(SUMIFS(Purchased_Electricity[CO2e (tonnes)], Purchased_Electricity[Year], G18, Purchased_Electricity[Calculation Approach], Dropdowns!$S$2, Purchased_Electricity[Facility ID], AD58:AD67)),""), ""))</f>
        <v>0</v>
      </c>
      <c r="H96" s="774" cm="1">
        <f t="array" ref="H96">IF($D$55="Facility", SUMIFS(Purchased_Electricity[CO2e (tonnes)], Purchased_Electricity[Year], H18, Purchased_Electricity[Calculation Approach], Dropdowns!$S$2, Purchased_Electricity[Facility ID], C93), _xlfn.IFNA(IF($D$55="Country",SUMPRODUCT(SUMIFS(Purchased_Electricity[CO2e (tonnes)], Purchased_Electricity[Year], H18, Purchased_Electricity[Calculation Approach], Dropdowns!$S$2, Purchased_Electricity[Facility ID], AD58:AD67)),""), ""))</f>
        <v>0</v>
      </c>
      <c r="I96" s="774" cm="1">
        <f t="array" ref="I96">IF($D$55="Facility", SUMIFS(Purchased_Electricity[CO2e (tonnes)], Purchased_Electricity[Year], I18, Purchased_Electricity[Calculation Approach], Dropdowns!$S$2, Purchased_Electricity[Facility ID], C93), _xlfn.IFNA(IF($D$55="Country",SUMPRODUCT(SUMIFS(Purchased_Electricity[CO2e (tonnes)], Purchased_Electricity[Year], I18, Purchased_Electricity[Calculation Approach], Dropdowns!$S$2, Purchased_Electricity[Facility ID], AD58:AD67)),""), ""))</f>
        <v>0</v>
      </c>
      <c r="J96" s="774" cm="1">
        <f t="array" ref="J96">IF($D$55="Facility", SUMIFS(Purchased_Electricity[CO2e (tonnes)], Purchased_Electricity[Year], J18, Purchased_Electricity[Calculation Approach], Dropdowns!$S$2, Purchased_Electricity[Facility ID], C93), _xlfn.IFNA(IF($D$55="Country",SUMPRODUCT(SUMIFS(Purchased_Electricity[CO2e (tonnes)], Purchased_Electricity[Year], J18, Purchased_Electricity[Calculation Approach], Dropdowns!$S$2, Purchased_Electricity[Facility ID], AD58:AD67)),""), ""))</f>
        <v>0</v>
      </c>
      <c r="K96" s="779" cm="1">
        <f t="array" ref="K96">IF($D$55="Facility", SUMIFS(Purchased_Electricity[CO2e (tonnes)], Purchased_Electricity[Year], K18, Purchased_Electricity[Calculation Approach], Dropdowns!$S$2, Purchased_Electricity[Facility ID], C93), _xlfn.IFNA(IF($D$55="Country",SUMPRODUCT(SUMIFS(Purchased_Electricity[CO2e (tonnes)], Purchased_Electricity[Year], K18, Purchased_Electricity[Calculation Approach], Dropdowns!$S$2, Purchased_Electricity[Facility ID], AD58:AD67)),""), ""))</f>
        <v>0</v>
      </c>
      <c r="V96" s="311"/>
    </row>
    <row r="97" spans="1:22" ht="18.75">
      <c r="A97" s="311"/>
      <c r="C97" s="1000"/>
      <c r="D97" s="699"/>
      <c r="E97" s="776" t="s">
        <v>1439</v>
      </c>
      <c r="F97" s="772" cm="1">
        <f t="array" ref="F97">IF($D$55="Facility", SUMIFS(Purchased_Electricity[CO2e (tonnes)], Purchased_Electricity[Year], F18, Purchased_Electricity[Calculation Approach], Dropdowns!$S$3, Purchased_Electricity[Facility ID], C93), _xlfn.IFNA(IF($D$55="Country",SUMPRODUCT(SUMIFS(Purchased_Electricity[CO2e (tonnes)], Purchased_Electricity[Year], F18, Purchased_Electricity[Calculation Approach], Dropdowns!$S$3, Purchased_Electricity[Facility ID], AD58:AD67)),""), ""))</f>
        <v>0</v>
      </c>
      <c r="G97" s="772" cm="1">
        <f t="array" ref="G97">IF($D$55="Facility", SUMIFS(Purchased_Electricity[CO2e (tonnes)], Purchased_Electricity[Year], G18, Purchased_Electricity[Calculation Approach], Dropdowns!$S$3, Purchased_Electricity[Facility ID], C93), _xlfn.IFNA(IF($D$55="Country",SUMPRODUCT(SUMIFS(Purchased_Electricity[CO2e (tonnes)], Purchased_Electricity[Year], G18, Purchased_Electricity[Calculation Approach], Dropdowns!$S$3, Purchased_Electricity[Facility ID], AD58:AD67)),""), ""))</f>
        <v>0</v>
      </c>
      <c r="H97" s="772" cm="1">
        <f t="array" ref="H97">IF($D$55="Facility", SUMIFS(Purchased_Electricity[CO2e (tonnes)], Purchased_Electricity[Year], H18, Purchased_Electricity[Calculation Approach], Dropdowns!$S$3, Purchased_Electricity[Facility ID], C93), _xlfn.IFNA(IF($D$55="Country",SUMPRODUCT(SUMIFS(Purchased_Electricity[CO2e (tonnes)], Purchased_Electricity[Year], H18, Purchased_Electricity[Calculation Approach], Dropdowns!$S$3, Purchased_Electricity[Facility ID], AD58:AD67)),""), ""))</f>
        <v>0</v>
      </c>
      <c r="I97" s="772" cm="1">
        <f t="array" ref="I97">IF($D$55="Facility", SUMIFS(Purchased_Electricity[CO2e (tonnes)], Purchased_Electricity[Year], I18, Purchased_Electricity[Calculation Approach], Dropdowns!$S$3, Purchased_Electricity[Facility ID], C93), _xlfn.IFNA(IF($D$55="Country",SUMPRODUCT(SUMIFS(Purchased_Electricity[CO2e (tonnes)], Purchased_Electricity[Year], I18, Purchased_Electricity[Calculation Approach], Dropdowns!$S$3, Purchased_Electricity[Facility ID], AD58:AD67)),""), ""))</f>
        <v>0</v>
      </c>
      <c r="J97" s="772" cm="1">
        <f t="array" ref="J97">IF($D$55="Facility", SUMIFS(Purchased_Electricity[CO2e (tonnes)], Purchased_Electricity[Year], J18, Purchased_Electricity[Calculation Approach], Dropdowns!$S$3, Purchased_Electricity[Facility ID], C93), _xlfn.IFNA(IF($D$55="Country",SUMPRODUCT(SUMIFS(Purchased_Electricity[CO2e (tonnes)], Purchased_Electricity[Year], J18, Purchased_Electricity[Calculation Approach], Dropdowns!$S$3, Purchased_Electricity[Facility ID], AD58:AD67)),""), ""))</f>
        <v>0</v>
      </c>
      <c r="K97" s="777" cm="1">
        <f t="array" ref="K97">IF($D$55="Facility", SUMIFS(Purchased_Electricity[CO2e (tonnes)], Purchased_Electricity[Year], K18, Purchased_Electricity[Calculation Approach], Dropdowns!$S$3, Purchased_Electricity[Facility ID], C93), _xlfn.IFNA(IF($D$55="Country",SUMPRODUCT(SUMIFS(Purchased_Electricity[CO2e (tonnes)], Purchased_Electricity[Year], K18, Purchased_Electricity[Calculation Approach], Dropdowns!$S$3, Purchased_Electricity[Facility ID], AD58:AD67)),""), ""))</f>
        <v>0</v>
      </c>
      <c r="V97" s="311"/>
    </row>
    <row r="98" spans="1:22" ht="18.75">
      <c r="A98" s="311"/>
      <c r="C98" s="1000"/>
      <c r="D98" s="701"/>
      <c r="E98" s="423" t="s">
        <v>1440</v>
      </c>
      <c r="F98" s="773" cm="1">
        <f t="array" ref="F98">IF($D$55="Facility", SUMIFS(Purchased_Electricity[CO2e (tonnes)], Purchased_Electricity[Year], F18, Purchased_Electricity[Calculation Approach], Dropdowns!$S$4, Purchased_Electricity[Facility ID], C93), _xlfn.IFNA(IF($D$55="Country",SUMPRODUCT(SUMIFS(Purchased_Electricity[CO2e (tonnes)], Purchased_Electricity[Year], F18, Purchased_Electricity[Calculation Approach], Dropdowns!$S$4, Purchased_Electricity[Facility ID], AD58:AD67)),""), ""))</f>
        <v>0</v>
      </c>
      <c r="G98" s="773" cm="1">
        <f t="array" ref="G98">IF($D$55="Facility", SUMIFS(Purchased_Electricity[CO2e (tonnes)], Purchased_Electricity[Year], G18, Purchased_Electricity[Calculation Approach], Dropdowns!$S$4, Purchased_Electricity[Facility ID], C93), _xlfn.IFNA(IF($D$55="Country",SUMPRODUCT(SUMIFS(Purchased_Electricity[CO2e (tonnes)], Purchased_Electricity[Year], G18, Purchased_Electricity[Calculation Approach], Dropdowns!$S$4, Purchased_Electricity[Facility ID], AD58:AD67)),""), ""))</f>
        <v>0</v>
      </c>
      <c r="H98" s="773" cm="1">
        <f t="array" ref="H98">IF($D$55="Facility", SUMIFS(Purchased_Electricity[CO2e (tonnes)], Purchased_Electricity[Year], H18, Purchased_Electricity[Calculation Approach], Dropdowns!$S$4, Purchased_Electricity[Facility ID], C93), _xlfn.IFNA(IF($D$55="Country",SUMPRODUCT(SUMIFS(Purchased_Electricity[CO2e (tonnes)], Purchased_Electricity[Year], H18, Purchased_Electricity[Calculation Approach], Dropdowns!$S$4, Purchased_Electricity[Facility ID], AD58:AD67)),""), ""))</f>
        <v>0</v>
      </c>
      <c r="I98" s="773" cm="1">
        <f t="array" ref="I98">IF($D$55="Facility", SUMIFS(Purchased_Electricity[CO2e (tonnes)], Purchased_Electricity[Year], I18, Purchased_Electricity[Calculation Approach], Dropdowns!$S$4, Purchased_Electricity[Facility ID], C93), _xlfn.IFNA(IF($D$55="Country",SUMPRODUCT(SUMIFS(Purchased_Electricity[CO2e (tonnes)], Purchased_Electricity[Year], I18, Purchased_Electricity[Calculation Approach], Dropdowns!$S$4, Purchased_Electricity[Facility ID], AD58:AD67)),""), ""))</f>
        <v>0</v>
      </c>
      <c r="J98" s="773" cm="1">
        <f t="array" ref="J98">IF($D$55="Facility", SUMIFS(Purchased_Electricity[CO2e (tonnes)], Purchased_Electricity[Year], J18, Purchased_Electricity[Calculation Approach], Dropdowns!$S$4, Purchased_Electricity[Facility ID], C93), _xlfn.IFNA(IF($D$55="Country",SUMPRODUCT(SUMIFS(Purchased_Electricity[CO2e (tonnes)], Purchased_Electricity[Year], J18, Purchased_Electricity[Calculation Approach], Dropdowns!$S$4, Purchased_Electricity[Facility ID], AD58:AD67)),""), ""))</f>
        <v>0</v>
      </c>
      <c r="K98" s="778" cm="1">
        <f t="array" ref="K98">IF($D$55="Facility", SUMIFS(Purchased_Electricity[CO2e (tonnes)], Purchased_Electricity[Year], K18, Purchased_Electricity[Calculation Approach], Dropdowns!$S$4, Purchased_Electricity[Facility ID], C93), _xlfn.IFNA(IF($D$55="Country",SUMPRODUCT(SUMIFS(Purchased_Electricity[CO2e (tonnes)], Purchased_Electricity[Year], K18, Purchased_Electricity[Calculation Approach], Dropdowns!$S$4, Purchased_Electricity[Facility ID], AD58:AD67)),""), ""))</f>
        <v>0</v>
      </c>
      <c r="V98" s="311"/>
    </row>
    <row r="99" spans="1:22" ht="19.5" thickBot="1">
      <c r="A99" s="311"/>
      <c r="C99" s="1001"/>
      <c r="D99" s="702" t="s">
        <v>1430</v>
      </c>
      <c r="E99" s="703"/>
      <c r="F99" s="783" cm="1">
        <f t="array" ref="F99">IF($D$55="Facility", SUM(SUMIFS(Stationary_Combustion[Biofuel CO2
(tonnes)], Stationary_Combustion[Year], F18, Stationary_Combustion[Facility ID], C93), SUMIFS(Table13[[#All],[Column15]], Table13[[#All],[Column1]], F18, Table13[[#All],[Column3]], C93)),_xlfn.IFNA(IF($D$55="Country",SUM(SUMPRODUCT(SUMIFS(Stationary_Combustion[Biofuel CO2
(tonnes)], Stationary_Combustion[Year], F18,  Stationary_Combustion[Facility ID], AD58:AD67)), SUMPRODUCT(SUMIFS(Table13[[#All],[Column15]], Table13[[#All],[Column1]], F18, Table13[[#All],[Column3]], AD58:AD67))),""), ""))</f>
        <v>0</v>
      </c>
      <c r="G99" s="783" cm="1">
        <f t="array" ref="G99">IF($D$55="Facility", SUM(SUMIFS(Stationary_Combustion[Biofuel CO2
(tonnes)], Stationary_Combustion[Year], G18, Stationary_Combustion[Facility ID], C93), SUMIFS(Table13[[#All],[Column15]], Table13[[#All],[Column1]], G18, Table13[[#All],[Column3]], C93)),_xlfn.IFNA(IF($D$55="Country",SUM(SUMPRODUCT(SUMIFS(Stationary_Combustion[Biofuel CO2
(tonnes)], Stationary_Combustion[Year], G18,  Stationary_Combustion[Facility ID], AD58:AD67)), SUMPRODUCT(SUMIFS(Table13[[#All],[Column15]], Table13[[#All],[Column1]], G18, Table13[[#All],[Column3]], AD58:AD67))),""), ""))</f>
        <v>0</v>
      </c>
      <c r="H99" s="783" cm="1">
        <f t="array" ref="H99">IF($D$55="Facility", SUM(SUMIFS(Stationary_Combustion[Biofuel CO2
(tonnes)], Stationary_Combustion[Year], H18, Stationary_Combustion[Facility ID], C93), SUMIFS(Table13[[#All],[Column15]], Table13[[#All],[Column1]], H18, Table13[[#All],[Column3]], C93)),_xlfn.IFNA(IF($D$55="Country",SUM(SUMPRODUCT(SUMIFS(Stationary_Combustion[Biofuel CO2
(tonnes)], Stationary_Combustion[Year], H18,  Stationary_Combustion[Facility ID], AD58:AD67)), SUMPRODUCT(SUMIFS(Table13[[#All],[Column15]], Table13[[#All],[Column1]], H18, Table13[[#All],[Column3]], AD58:AD67))),""), ""))</f>
        <v>0</v>
      </c>
      <c r="I99" s="783" cm="1">
        <f t="array" ref="I99">IF($D$55="Facility", SUM(SUMIFS(Stationary_Combustion[Biofuel CO2
(tonnes)], Stationary_Combustion[Year], I18, Stationary_Combustion[Facility ID], C93), SUMIFS(Table13[[#All],[Column15]], Table13[[#All],[Column1]], I18, Table13[[#All],[Column3]], C93)),_xlfn.IFNA(IF($D$55="Country",SUM(SUMPRODUCT(SUMIFS(Stationary_Combustion[Biofuel CO2
(tonnes)], Stationary_Combustion[Year], I18,  Stationary_Combustion[Facility ID], AD58:AD67)), SUMPRODUCT(SUMIFS(Table13[[#All],[Column15]], Table13[[#All],[Column1]], I18, Table13[[#All],[Column3]], AD58:AD67))),""), ""))</f>
        <v>0</v>
      </c>
      <c r="J99" s="783" cm="1">
        <f t="array" ref="J99">IF($D$55="Facility", SUM(SUMIFS(Stationary_Combustion[Biofuel CO2
(tonnes)], Stationary_Combustion[Year], J18, Stationary_Combustion[Facility ID], C93), SUMIFS(Table13[[#All],[Column15]], Table13[[#All],[Column1]], J18, Table13[[#All],[Column3]], C93)),_xlfn.IFNA(IF($D$55="Country",SUM(SUMPRODUCT(SUMIFS(Stationary_Combustion[Biofuel CO2
(tonnes)], Stationary_Combustion[Year], J18,  Stationary_Combustion[Facility ID], AD58:AD67)), SUMPRODUCT(SUMIFS(Table13[[#All],[Column15]], Table13[[#All],[Column1]], J18, Table13[[#All],[Column3]], AD58:AD67))),""), ""))</f>
        <v>0</v>
      </c>
      <c r="K99" s="780" cm="1">
        <f t="array" ref="K99">IF($D$55="Facility", SUM(SUMIFS(Stationary_Combustion[Biofuel CO2
(tonnes)], Stationary_Combustion[Year], K18, Stationary_Combustion[Facility ID], C93), SUMIFS(Table13[[#All],[Column15]], Table13[[#All],[Column1]], K18, Table13[[#All],[Column3]], C93)),_xlfn.IFNA(IF($D$55="Country",SUM(SUMPRODUCT(SUMIFS(Stationary_Combustion[Biofuel CO2
(tonnes)], Stationary_Combustion[Year], K18,  Stationary_Combustion[Facility ID], AD58:AD67)), SUMPRODUCT(SUMIFS(Table13[[#All],[Column15]], Table13[[#All],[Column1]], K18, Table13[[#All],[Column3]], AD58:AD67))),""), ""))</f>
        <v>0</v>
      </c>
      <c r="V99" s="311"/>
    </row>
    <row r="100" spans="1:22" ht="18.75">
      <c r="A100" s="311"/>
      <c r="C100" s="999">
        <f>IF($D$55="Facility",Parameters!F49,_xlfn.IFNA(IF($D$55="Country",X64,""),""))</f>
        <v>7</v>
      </c>
      <c r="D100" s="697" t="s">
        <v>95</v>
      </c>
      <c r="E100" s="698" t="s">
        <v>88</v>
      </c>
      <c r="F100" s="781" cm="1">
        <f t="array" ref="F100">IF($D$55="Facility", SUMIFS(Stationary_Combustion[CO2e (tonnes)], Stationary_Combustion[Year], F18, Stationary_Combustion[Facility ID], C100),_xlfn.IFNA(IF($D$55="Country",SUMPRODUCT(SUMIFS(Stationary_Combustion[CO2e (tonnes)], Stationary_Combustion[Year], F18, Stationary_Combustion[Facility ID], AE58:AE67)),""), ""))</f>
        <v>0</v>
      </c>
      <c r="G100" s="781" cm="1">
        <f t="array" ref="G100">IF($D$55="Facility", SUMIFS(Stationary_Combustion[CO2e (tonnes)], Stationary_Combustion[Year], G18, Stationary_Combustion[Facility ID], C100),_xlfn.IFNA(IF($D$55="Country",SUMPRODUCT(SUMIFS(Stationary_Combustion[CO2e (tonnes)], Stationary_Combustion[Year], G18, Stationary_Combustion[Facility ID], AE58:AE67)),""), ""))</f>
        <v>0</v>
      </c>
      <c r="H100" s="781" cm="1">
        <f t="array" ref="H100">IF($D$55="Facility", SUMIFS(Stationary_Combustion[CO2e (tonnes)], Stationary_Combustion[Year], H18, Stationary_Combustion[Facility ID], C100),_xlfn.IFNA(IF($D$55="Country",SUMPRODUCT(SUMIFS(Stationary_Combustion[CO2e (tonnes)], Stationary_Combustion[Year], H18, Stationary_Combustion[Facility ID], AE58:AE67)),""), ""))</f>
        <v>0</v>
      </c>
      <c r="I100" s="781" cm="1">
        <f t="array" ref="I100">IF($D$55="Facility", SUMIFS(Stationary_Combustion[CO2e (tonnes)], Stationary_Combustion[Year], I18, Stationary_Combustion[Facility ID], C100),_xlfn.IFNA(IF($D$55="Country",SUMPRODUCT(SUMIFS(Stationary_Combustion[CO2e (tonnes)], Stationary_Combustion[Year], I18, Stationary_Combustion[Facility ID], AE58:AE67)),""), ""))</f>
        <v>0</v>
      </c>
      <c r="J100" s="781" cm="1">
        <f t="array" ref="J100">IF($D$55="Facility", SUMIFS(Stationary_Combustion[CO2e (tonnes)], Stationary_Combustion[Year], J18, Stationary_Combustion[Facility ID], C100),_xlfn.IFNA(IF($D$55="Country",SUMPRODUCT(SUMIFS(Stationary_Combustion[CO2e (tonnes)], Stationary_Combustion[Year], J18, Stationary_Combustion[Facility ID], AE58:AE67)),""), ""))</f>
        <v>0</v>
      </c>
      <c r="K100" s="782" cm="1">
        <f t="array" ref="K100">IF($D$55="Facility", SUMIFS(Stationary_Combustion[CO2e (tonnes)], Stationary_Combustion[Year], K18, Stationary_Combustion[Facility ID], C100),_xlfn.IFNA(IF($D$55="Country",SUMPRODUCT(SUMIFS(Stationary_Combustion[CO2e (tonnes)], Stationary_Combustion[Year], K18, Stationary_Combustion[Facility ID], AE58:AE67)),""), ""))</f>
        <v>0</v>
      </c>
      <c r="V100" s="311"/>
    </row>
    <row r="101" spans="1:22" ht="18.75">
      <c r="A101" s="311"/>
      <c r="C101" s="1000"/>
      <c r="D101" s="699"/>
      <c r="E101" s="421" t="s">
        <v>89</v>
      </c>
      <c r="F101" s="772" cm="1">
        <f t="array" ref="F101">IF($D$55="Facility", SUMIFS(Table13[[#All],[Column14]], Table13[[#All],[Column1]], F18, Table13[[#All],[Column3]], C100),_xlfn.IFNA(IF($D$55="Country",SUMPRODUCT(SUMIFS(Table13[[#All],[Column14]], Table13[[#All],[Column1]], F18, Table13[[#All],[Column3]], AE58:AE67)),""), ""))</f>
        <v>0</v>
      </c>
      <c r="G101" s="772" cm="1">
        <f t="array" ref="G101">IF($D$55="Facility", SUMIFS(Table13[[#All],[Column14]], Table13[[#All],[Column1]], G18, Table13[[#All],[Column3]], C100),_xlfn.IFNA(IF($D$55="Country",SUMPRODUCT(SUMIFS(Table13[[#All],[Column14]], Table13[[#All],[Column1]], G18, Table13[[#All],[Column3]], AE58:AE67)),""), ""))</f>
        <v>0</v>
      </c>
      <c r="H101" s="772" cm="1">
        <f t="array" ref="H101">IF($D$55="Facility", SUMIFS(Table13[[#All],[Column14]], Table13[[#All],[Column1]], H18, Table13[[#All],[Column3]], C100),_xlfn.IFNA(IF($D$55="Country",SUMPRODUCT(SUMIFS(Table13[[#All],[Column14]], Table13[[#All],[Column1]], H18, Table13[[#All],[Column3]], AE58:AE67)),""), ""))</f>
        <v>0</v>
      </c>
      <c r="I101" s="772" cm="1">
        <f t="array" ref="I101">IF($D$55="Facility", SUMIFS(Table13[[#All],[Column14]], Table13[[#All],[Column1]], I18, Table13[[#All],[Column3]], C100),_xlfn.IFNA(IF($D$55="Country",SUMPRODUCT(SUMIFS(Table13[[#All],[Column14]], Table13[[#All],[Column1]], I18, Table13[[#All],[Column3]], AE58:AE67)),""), ""))</f>
        <v>0</v>
      </c>
      <c r="J101" s="772" cm="1">
        <f t="array" ref="J101">IF($D$55="Facility", SUMIFS(Table13[[#All],[Column14]], Table13[[#All],[Column1]], J18, Table13[[#All],[Column3]], C100),_xlfn.IFNA(IF($D$55="Country",SUMPRODUCT(SUMIFS(Table13[[#All],[Column14]], Table13[[#All],[Column1]], J18, Table13[[#All],[Column3]], AE58:AE67)),""), ""))</f>
        <v>0</v>
      </c>
      <c r="K101" s="777" cm="1">
        <f t="array" ref="K101">IF($D$55="Facility", SUMIFS(Table13[[#All],[Column14]], Table13[[#All],[Column1]], K18, Table13[[#All],[Column3]], C100),_xlfn.IFNA(IF($D$55="Country",SUMPRODUCT(SUMIFS(Table13[[#All],[Column14]], Table13[[#All],[Column1]], K18, Table13[[#All],[Column3]], AE58:AE67)),""), ""))</f>
        <v>0</v>
      </c>
      <c r="V101" s="311"/>
    </row>
    <row r="102" spans="1:22" ht="18.75">
      <c r="A102" s="311"/>
      <c r="C102" s="1000"/>
      <c r="D102" s="701"/>
      <c r="E102" s="423" t="s">
        <v>1437</v>
      </c>
      <c r="F102" s="773" cm="1">
        <f t="array" ref="F102">IF($D$55="Facility", SUM(SUMIFS('S1-Refrigerants'!P35:P52, 'S1-Refrigerants'!$B$35:$B$52, F18, 'S1-Refrigerants'!$C$35:$C$52, C100), SUMIFS('S1-Refrigerants'!U65:U82, 'S1-Refrigerants'!$B$65:$B$82, F18, 'S1-Refrigerants'!$C$65:$C$82, C100), SUMIFS('S1-Refrigerants'!O95:O112, 'S1-Refrigerants'!$B$95:$B$112, F18, 'S1-Refrigerants'!$C$95:$C$112, C100)), _xlfn.IFNA(IF($D$55="Country", SUM(SUMPRODUCT(SUMIFS('S1-Refrigerants'!$P$35:$P$52, 'S1-Refrigerants'!$B$35:$B$52, F18, 'S1-Refrigerants'!$C$35:$C$52, AE58:AE67)), SUMPRODUCT(SUMIFS('S1-Refrigerants'!$U$65:$U$82, 'S1-Refrigerants'!$B$65:$B$82, F18, 'S1-Refrigerants'!$C$65:$C$82, AE58:AE67)), SUMPRODUCT(SUMIFS('S1-Refrigerants'!$O$95:$O$112, 'S1-Refrigerants'!$B$95:$B$112, F18, 'S1-Refrigerants'!$C$95:$C$112, AE58:AE67)))),""))</f>
        <v>0</v>
      </c>
      <c r="G102" s="773" cm="1">
        <f t="array" ref="G102">IF($D$55="Facility", SUM(SUMIFS('S1-Refrigerants'!P35:P52, 'S1-Refrigerants'!$B$35:$B$52, G18, 'S1-Refrigerants'!$C$35:$C$52, C100), SUMIFS('S1-Refrigerants'!U65:U82, 'S1-Refrigerants'!$B$65:$B$82, G18, 'S1-Refrigerants'!$C$65:$C$82, C100), SUMIFS('S1-Refrigerants'!O95:O112, 'S1-Refrigerants'!$B$95:$B$112, G18, 'S1-Refrigerants'!$C$95:$C$112, C100)), _xlfn.IFNA(IF($D$55="Country", SUM(SUMPRODUCT(SUMIFS('S1-Refrigerants'!$P$35:$P$52, 'S1-Refrigerants'!$B$35:$B$52, G18, 'S1-Refrigerants'!$C$35:$C$52, AE58:AE67)), SUMPRODUCT(SUMIFS('S1-Refrigerants'!$U$65:$U$82, 'S1-Refrigerants'!$B$65:$B$82, G18, 'S1-Refrigerants'!$C$65:$C$82, AE58:AE67)), SUMPRODUCT(SUMIFS('S1-Refrigerants'!$O$95:$O$112, 'S1-Refrigerants'!$B$95:$B$112, G18, 'S1-Refrigerants'!$C$95:$C$112, AE58:AE67)))),""))</f>
        <v>0</v>
      </c>
      <c r="H102" s="773" cm="1">
        <f t="array" ref="H102">IF($D$55="Facility", SUM(SUMIFS('S1-Refrigerants'!P35:P52, 'S1-Refrigerants'!$B$35:$B$52, H18, 'S1-Refrigerants'!$C$35:$C$52, C100), SUMIFS('S1-Refrigerants'!U65:U82, 'S1-Refrigerants'!$B$65:$B$82, H18, 'S1-Refrigerants'!$C$65:$C$82, C100), SUMIFS('S1-Refrigerants'!O95:O112, 'S1-Refrigerants'!$B$95:$B$112, H18, 'S1-Refrigerants'!$C$95:$C$112, C100)), _xlfn.IFNA(IF($D$55="Country", SUM(SUMPRODUCT(SUMIFS('S1-Refrigerants'!$P$35:$P$52, 'S1-Refrigerants'!$B$35:$B$52, H18, 'S1-Refrigerants'!$C$35:$C$52, AE58:AE67)), SUMPRODUCT(SUMIFS('S1-Refrigerants'!$U$65:$U$82, 'S1-Refrigerants'!$B$65:$B$82, H18, 'S1-Refrigerants'!$C$65:$C$82, AE58:AE67)), SUMPRODUCT(SUMIFS('S1-Refrigerants'!$O$95:$O$112, 'S1-Refrigerants'!$B$95:$B$112, H18, 'S1-Refrigerants'!$C$95:$C$112, AE58:AE67)))),""))</f>
        <v>0</v>
      </c>
      <c r="I102" s="773" cm="1">
        <f t="array" ref="I102">IF($D$55="Facility", SUM(SUMIFS('S1-Refrigerants'!P35:P52, 'S1-Refrigerants'!$B$35:$B$52, I18, 'S1-Refrigerants'!$C$35:$C$52, C100), SUMIFS('S1-Refrigerants'!U65:U82, 'S1-Refrigerants'!$B$65:$B$82, I18, 'S1-Refrigerants'!$C$65:$C$82, C100), SUMIFS('S1-Refrigerants'!O95:O112, 'S1-Refrigerants'!$B$95:$B$112, I18, 'S1-Refrigerants'!$C$95:$C$112, C100)), _xlfn.IFNA(IF($D$55="Country", SUM(SUMPRODUCT(SUMIFS('S1-Refrigerants'!$P$35:$P$52, 'S1-Refrigerants'!$B$35:$B$52, I18, 'S1-Refrigerants'!$C$35:$C$52, AE58:AE67)), SUMPRODUCT(SUMIFS('S1-Refrigerants'!$U$65:$U$82, 'S1-Refrigerants'!$B$65:$B$82, I18, 'S1-Refrigerants'!$C$65:$C$82, AE58:AE67)), SUMPRODUCT(SUMIFS('S1-Refrigerants'!$O$95:$O$112, 'S1-Refrigerants'!$B$95:$B$112, I18, 'S1-Refrigerants'!$C$95:$C$112, AE58:AE67)))),""))</f>
        <v>0</v>
      </c>
      <c r="J102" s="773" cm="1">
        <f t="array" ref="J102">IF($D$55="Facility", SUM(SUMIFS('S1-Refrigerants'!P35:P52, 'S1-Refrigerants'!$B$35:$B$52, J18, 'S1-Refrigerants'!$C$35:$C$52, C100), SUMIFS('S1-Refrigerants'!U65:U82, 'S1-Refrigerants'!$B$65:$B$82, J18, 'S1-Refrigerants'!$C$65:$C$82, C100), SUMIFS('S1-Refrigerants'!O95:O112, 'S1-Refrigerants'!$B$95:$B$112, J18, 'S1-Refrigerants'!$C$95:$C$112, C100)), _xlfn.IFNA(IF($D$55="Country", SUM(SUMPRODUCT(SUMIFS('S1-Refrigerants'!$P$35:$P$52, 'S1-Refrigerants'!$B$35:$B$52, J18, 'S1-Refrigerants'!$C$35:$C$52, AE58:AE67)), SUMPRODUCT(SUMIFS('S1-Refrigerants'!$U$65:$U$82, 'S1-Refrigerants'!$B$65:$B$82, J18, 'S1-Refrigerants'!$C$65:$C$82, AE58:AE67)), SUMPRODUCT(SUMIFS('S1-Refrigerants'!$O$95:$O$112, 'S1-Refrigerants'!$B$95:$B$112, J18, 'S1-Refrigerants'!$C$95:$C$112, AE58:AE67)))),""))</f>
        <v>0</v>
      </c>
      <c r="K102" s="778" cm="1">
        <f t="array" ref="K102">IF($D$55="Facility", SUM(SUMIFS('S1-Refrigerants'!P35:P52, 'S1-Refrigerants'!$B$35:$B$52, K18, 'S1-Refrigerants'!$C$35:$C$52, C100), SUMIFS('S1-Refrigerants'!U65:U82, 'S1-Refrigerants'!$B$65:$B$82, K18, 'S1-Refrigerants'!$C$65:$C$82, C100), SUMIFS('S1-Refrigerants'!O95:O112, 'S1-Refrigerants'!$B$95:$B$112, K18, 'S1-Refrigerants'!$C$95:$C$112, C100)), _xlfn.IFNA(IF($D$55="Country", SUM(SUMPRODUCT(SUMIFS('S1-Refrigerants'!$P$35:$P$52, 'S1-Refrigerants'!$B$35:$B$52, K18, 'S1-Refrigerants'!$C$35:$C$52, AE58:AE67)), SUMPRODUCT(SUMIFS('S1-Refrigerants'!$U$65:$U$82, 'S1-Refrigerants'!$B$65:$B$82, K18, 'S1-Refrigerants'!$C$65:$C$82, AE58:AE67)), SUMPRODUCT(SUMIFS('S1-Refrigerants'!$O$95:$O$112, 'S1-Refrigerants'!$B$95:$B$112, K18, 'S1-Refrigerants'!$C$95:$C$112, AE58:AE67)))),""))</f>
        <v>0</v>
      </c>
      <c r="V102" s="311"/>
    </row>
    <row r="103" spans="1:22" ht="18.75">
      <c r="A103" s="311"/>
      <c r="C103" s="1000"/>
      <c r="D103" s="700" t="s">
        <v>100</v>
      </c>
      <c r="E103" s="776" t="s">
        <v>1438</v>
      </c>
      <c r="F103" s="774" cm="1">
        <f t="array" ref="F103">IF($D$55="Facility", SUMIFS(Purchased_Electricity[CO2e (tonnes)], Purchased_Electricity[Year], F18, Purchased_Electricity[Calculation Approach], Dropdowns!$S$2, Purchased_Electricity[Facility ID], C100), _xlfn.IFNA(IF($D$55="Country",SUMPRODUCT(SUMIFS(Purchased_Electricity[CO2e (tonnes)], Purchased_Electricity[Year], F18, Purchased_Electricity[Calculation Approach], Dropdowns!$S$2, Purchased_Electricity[Facility ID], AE58:AE67)),""), ""))</f>
        <v>0</v>
      </c>
      <c r="G103" s="774" cm="1">
        <f t="array" ref="G103">IF($D$55="Facility", SUMIFS(Purchased_Electricity[CO2e (tonnes)], Purchased_Electricity[Year], G18, Purchased_Electricity[Calculation Approach], Dropdowns!$S$2, Purchased_Electricity[Facility ID], C100), _xlfn.IFNA(IF($D$55="Country",SUMPRODUCT(SUMIFS(Purchased_Electricity[CO2e (tonnes)], Purchased_Electricity[Year], G18, Purchased_Electricity[Calculation Approach], Dropdowns!$S$2, Purchased_Electricity[Facility ID], AE58:AE67)),""), ""))</f>
        <v>0</v>
      </c>
      <c r="H103" s="774" cm="1">
        <f t="array" ref="H103">IF($D$55="Facility", SUMIFS(Purchased_Electricity[CO2e (tonnes)], Purchased_Electricity[Year], H18, Purchased_Electricity[Calculation Approach], Dropdowns!$S$2, Purchased_Electricity[Facility ID], C100), _xlfn.IFNA(IF($D$55="Country",SUMPRODUCT(SUMIFS(Purchased_Electricity[CO2e (tonnes)], Purchased_Electricity[Year], H18, Purchased_Electricity[Calculation Approach], Dropdowns!$S$2, Purchased_Electricity[Facility ID], AE58:AE67)),""), ""))</f>
        <v>0</v>
      </c>
      <c r="I103" s="774" cm="1">
        <f t="array" ref="I103">IF($D$55="Facility", SUMIFS(Purchased_Electricity[CO2e (tonnes)], Purchased_Electricity[Year], I18, Purchased_Electricity[Calculation Approach], Dropdowns!$S$2, Purchased_Electricity[Facility ID], C100), _xlfn.IFNA(IF($D$55="Country",SUMPRODUCT(SUMIFS(Purchased_Electricity[CO2e (tonnes)], Purchased_Electricity[Year], I18, Purchased_Electricity[Calculation Approach], Dropdowns!$S$2, Purchased_Electricity[Facility ID], AE58:AE67)),""), ""))</f>
        <v>0</v>
      </c>
      <c r="J103" s="774" cm="1">
        <f t="array" ref="J103">IF($D$55="Facility", SUMIFS(Purchased_Electricity[CO2e (tonnes)], Purchased_Electricity[Year], J18, Purchased_Electricity[Calculation Approach], Dropdowns!$S$2, Purchased_Electricity[Facility ID], C100), _xlfn.IFNA(IF($D$55="Country",SUMPRODUCT(SUMIFS(Purchased_Electricity[CO2e (tonnes)], Purchased_Electricity[Year], J18, Purchased_Electricity[Calculation Approach], Dropdowns!$S$2, Purchased_Electricity[Facility ID], AE58:AE67)),""), ""))</f>
        <v>0</v>
      </c>
      <c r="K103" s="779" cm="1">
        <f t="array" ref="K103">IF($D$55="Facility", SUMIFS(Purchased_Electricity[CO2e (tonnes)], Purchased_Electricity[Year], K18, Purchased_Electricity[Calculation Approach], Dropdowns!$S$2, Purchased_Electricity[Facility ID], C100), _xlfn.IFNA(IF($D$55="Country",SUMPRODUCT(SUMIFS(Purchased_Electricity[CO2e (tonnes)], Purchased_Electricity[Year], K18, Purchased_Electricity[Calculation Approach], Dropdowns!$S$2, Purchased_Electricity[Facility ID], AE58:AE67)),""), ""))</f>
        <v>0</v>
      </c>
      <c r="V103" s="311"/>
    </row>
    <row r="104" spans="1:22" ht="18.75">
      <c r="A104" s="311"/>
      <c r="C104" s="1000"/>
      <c r="D104" s="699"/>
      <c r="E104" s="776" t="s">
        <v>1439</v>
      </c>
      <c r="F104" s="772" cm="1">
        <f t="array" ref="F104">IF($D$55="Facility", SUMIFS(Purchased_Electricity[CO2e (tonnes)], Purchased_Electricity[Year], F18, Purchased_Electricity[Calculation Approach], Dropdowns!$S$3, Purchased_Electricity[Facility ID], C100), _xlfn.IFNA(IF($D$55="Country",SUMPRODUCT(SUMIFS(Purchased_Electricity[CO2e (tonnes)], Purchased_Electricity[Year], F18, Purchased_Electricity[Calculation Approach], Dropdowns!$S$3, Purchased_Electricity[Facility ID], AE58:AE67)),""), ""))</f>
        <v>0</v>
      </c>
      <c r="G104" s="772" cm="1">
        <f t="array" ref="G104">IF($D$55="Facility", SUMIFS(Purchased_Electricity[CO2e (tonnes)], Purchased_Electricity[Year], G18, Purchased_Electricity[Calculation Approach], Dropdowns!$S$3, Purchased_Electricity[Facility ID], C100), _xlfn.IFNA(IF($D$55="Country",SUMPRODUCT(SUMIFS(Purchased_Electricity[CO2e (tonnes)], Purchased_Electricity[Year], G18, Purchased_Electricity[Calculation Approach], Dropdowns!$S$3, Purchased_Electricity[Facility ID], AE58:AE67)),""), ""))</f>
        <v>0</v>
      </c>
      <c r="H104" s="772" cm="1">
        <f t="array" ref="H104">IF($D$55="Facility", SUMIFS(Purchased_Electricity[CO2e (tonnes)], Purchased_Electricity[Year], H18, Purchased_Electricity[Calculation Approach], Dropdowns!$S$3, Purchased_Electricity[Facility ID], C100), _xlfn.IFNA(IF($D$55="Country",SUMPRODUCT(SUMIFS(Purchased_Electricity[CO2e (tonnes)], Purchased_Electricity[Year], H18, Purchased_Electricity[Calculation Approach], Dropdowns!$S$3, Purchased_Electricity[Facility ID], AE58:AE67)),""), ""))</f>
        <v>0</v>
      </c>
      <c r="I104" s="772" cm="1">
        <f t="array" ref="I104">IF($D$55="Facility", SUMIFS(Purchased_Electricity[CO2e (tonnes)], Purchased_Electricity[Year], I18, Purchased_Electricity[Calculation Approach], Dropdowns!$S$3, Purchased_Electricity[Facility ID], C100), _xlfn.IFNA(IF($D$55="Country",SUMPRODUCT(SUMIFS(Purchased_Electricity[CO2e (tonnes)], Purchased_Electricity[Year], I18, Purchased_Electricity[Calculation Approach], Dropdowns!$S$3, Purchased_Electricity[Facility ID], AE58:AE67)),""), ""))</f>
        <v>0</v>
      </c>
      <c r="J104" s="772" cm="1">
        <f t="array" ref="J104">IF($D$55="Facility", SUMIFS(Purchased_Electricity[CO2e (tonnes)], Purchased_Electricity[Year], J18, Purchased_Electricity[Calculation Approach], Dropdowns!$S$3, Purchased_Electricity[Facility ID], C100), _xlfn.IFNA(IF($D$55="Country",SUMPRODUCT(SUMIFS(Purchased_Electricity[CO2e (tonnes)], Purchased_Electricity[Year], J18, Purchased_Electricity[Calculation Approach], Dropdowns!$S$3, Purchased_Electricity[Facility ID], AE58:AE67)),""), ""))</f>
        <v>0</v>
      </c>
      <c r="K104" s="777" cm="1">
        <f t="array" ref="K104">IF($D$55="Facility", SUMIFS(Purchased_Electricity[CO2e (tonnes)], Purchased_Electricity[Year], K18, Purchased_Electricity[Calculation Approach], Dropdowns!$S$3, Purchased_Electricity[Facility ID], C100), _xlfn.IFNA(IF($D$55="Country",SUMPRODUCT(SUMIFS(Purchased_Electricity[CO2e (tonnes)], Purchased_Electricity[Year], K18, Purchased_Electricity[Calculation Approach], Dropdowns!$S$3, Purchased_Electricity[Facility ID], AE58:AE67)),""), ""))</f>
        <v>0</v>
      </c>
      <c r="V104" s="311"/>
    </row>
    <row r="105" spans="1:22" ht="18.75">
      <c r="A105" s="311"/>
      <c r="C105" s="1000"/>
      <c r="D105" s="701"/>
      <c r="E105" s="423" t="s">
        <v>1440</v>
      </c>
      <c r="F105" s="773" cm="1">
        <f t="array" ref="F105">IF($D$55="Facility", SUMIFS(Purchased_Electricity[CO2e (tonnes)], Purchased_Electricity[Year], F18, Purchased_Electricity[Calculation Approach], Dropdowns!$S$4, Purchased_Electricity[Facility ID], C100), _xlfn.IFNA(IF($D$55="Country",SUMPRODUCT(SUMIFS(Purchased_Electricity[CO2e (tonnes)], Purchased_Electricity[Year], F18, Purchased_Electricity[Calculation Approach], Dropdowns!$S$4, Purchased_Electricity[Facility ID], AE58:AE67)),""), ""))</f>
        <v>0</v>
      </c>
      <c r="G105" s="773" cm="1">
        <f t="array" ref="G105">IF($D$55="Facility", SUMIFS(Purchased_Electricity[CO2e (tonnes)], Purchased_Electricity[Year], G18, Purchased_Electricity[Calculation Approach], Dropdowns!$S$4, Purchased_Electricity[Facility ID], C100), _xlfn.IFNA(IF($D$55="Country",SUMPRODUCT(SUMIFS(Purchased_Electricity[CO2e (tonnes)], Purchased_Electricity[Year], G18, Purchased_Electricity[Calculation Approach], Dropdowns!$S$4, Purchased_Electricity[Facility ID], AE58:AE67)),""), ""))</f>
        <v>0</v>
      </c>
      <c r="H105" s="773" cm="1">
        <f t="array" ref="H105">IF($D$55="Facility", SUMIFS(Purchased_Electricity[CO2e (tonnes)], Purchased_Electricity[Year], H18, Purchased_Electricity[Calculation Approach], Dropdowns!$S$4, Purchased_Electricity[Facility ID], C100), _xlfn.IFNA(IF($D$55="Country",SUMPRODUCT(SUMIFS(Purchased_Electricity[CO2e (tonnes)], Purchased_Electricity[Year], H18, Purchased_Electricity[Calculation Approach], Dropdowns!$S$4, Purchased_Electricity[Facility ID], AE58:AE67)),""), ""))</f>
        <v>0</v>
      </c>
      <c r="I105" s="773" cm="1">
        <f t="array" ref="I105">IF($D$55="Facility", SUMIFS(Purchased_Electricity[CO2e (tonnes)], Purchased_Electricity[Year], I18, Purchased_Electricity[Calculation Approach], Dropdowns!$S$4, Purchased_Electricity[Facility ID], C100), _xlfn.IFNA(IF($D$55="Country",SUMPRODUCT(SUMIFS(Purchased_Electricity[CO2e (tonnes)], Purchased_Electricity[Year], I18, Purchased_Electricity[Calculation Approach], Dropdowns!$S$4, Purchased_Electricity[Facility ID], AE58:AE67)),""), ""))</f>
        <v>0</v>
      </c>
      <c r="J105" s="773" cm="1">
        <f t="array" ref="J105">IF($D$55="Facility", SUMIFS(Purchased_Electricity[CO2e (tonnes)], Purchased_Electricity[Year], J18, Purchased_Electricity[Calculation Approach], Dropdowns!$S$4, Purchased_Electricity[Facility ID], C100), _xlfn.IFNA(IF($D$55="Country",SUMPRODUCT(SUMIFS(Purchased_Electricity[CO2e (tonnes)], Purchased_Electricity[Year], J18, Purchased_Electricity[Calculation Approach], Dropdowns!$S$4, Purchased_Electricity[Facility ID], AE58:AE67)),""), ""))</f>
        <v>0</v>
      </c>
      <c r="K105" s="778" cm="1">
        <f t="array" ref="K105">IF($D$55="Facility", SUMIFS(Purchased_Electricity[CO2e (tonnes)], Purchased_Electricity[Year], K18, Purchased_Electricity[Calculation Approach], Dropdowns!$S$4, Purchased_Electricity[Facility ID], C100), _xlfn.IFNA(IF($D$55="Country",SUMPRODUCT(SUMIFS(Purchased_Electricity[CO2e (tonnes)], Purchased_Electricity[Year], K18, Purchased_Electricity[Calculation Approach], Dropdowns!$S$4, Purchased_Electricity[Facility ID], AE58:AE67)),""), ""))</f>
        <v>0</v>
      </c>
      <c r="V105" s="311"/>
    </row>
    <row r="106" spans="1:22" ht="19.5" thickBot="1">
      <c r="A106" s="311"/>
      <c r="C106" s="1001"/>
      <c r="D106" s="702" t="s">
        <v>1430</v>
      </c>
      <c r="E106" s="703"/>
      <c r="F106" s="783" cm="1">
        <f t="array" ref="F106">IF($D$55="Facility", SUM(SUMIFS(Stationary_Combustion[Biofuel CO2
(tonnes)], Stationary_Combustion[Year], F18, Stationary_Combustion[Facility ID], C100), SUMIFS(Table13[[#All],[Column15]], Table13[[#All],[Column1]], F18, Table13[[#All],[Column3]], C100)),_xlfn.IFNA(IF($D$55="Country",SUM(SUMPRODUCT(SUMIFS(Stationary_Combustion[Biofuel CO2
(tonnes)], Stationary_Combustion[Year], F18,  Stationary_Combustion[Facility ID], AE58:AE67)), SUMPRODUCT(SUMIFS(Table13[[#All],[Column15]], Table13[[#All],[Column1]], F18, Table13[[#All],[Column3]], AE58:AE67))),""), ""))</f>
        <v>0</v>
      </c>
      <c r="G106" s="783" cm="1">
        <f t="array" ref="G106">IF($D$55="Facility", SUM(SUMIFS(Stationary_Combustion[Biofuel CO2
(tonnes)], Stationary_Combustion[Year], G18, Stationary_Combustion[Facility ID], C100), SUMIFS(Table13[[#All],[Column15]], Table13[[#All],[Column1]], G18, Table13[[#All],[Column3]], C100)),_xlfn.IFNA(IF($D$55="Country",SUM(SUMPRODUCT(SUMIFS(Stationary_Combustion[Biofuel CO2
(tonnes)], Stationary_Combustion[Year], G18,  Stationary_Combustion[Facility ID], AE58:AE67)), SUMPRODUCT(SUMIFS(Table13[[#All],[Column15]], Table13[[#All],[Column1]], G18, Table13[[#All],[Column3]], AE58:AE67))),""), ""))</f>
        <v>0</v>
      </c>
      <c r="H106" s="783" cm="1">
        <f t="array" ref="H106">IF($D$55="Facility", SUM(SUMIFS(Stationary_Combustion[Biofuel CO2
(tonnes)], Stationary_Combustion[Year], H18, Stationary_Combustion[Facility ID], C100), SUMIFS(Table13[[#All],[Column15]], Table13[[#All],[Column1]], H18, Table13[[#All],[Column3]], C100)),_xlfn.IFNA(IF($D$55="Country",SUM(SUMPRODUCT(SUMIFS(Stationary_Combustion[Biofuel CO2
(tonnes)], Stationary_Combustion[Year], H18,  Stationary_Combustion[Facility ID], AE58:AE67)), SUMPRODUCT(SUMIFS(Table13[[#All],[Column15]], Table13[[#All],[Column1]], H18, Table13[[#All],[Column3]], AE58:AE67))),""), ""))</f>
        <v>0</v>
      </c>
      <c r="I106" s="783" cm="1">
        <f t="array" ref="I106">IF($D$55="Facility", SUM(SUMIFS(Stationary_Combustion[Biofuel CO2
(tonnes)], Stationary_Combustion[Year], I18, Stationary_Combustion[Facility ID], C100), SUMIFS(Table13[[#All],[Column15]], Table13[[#All],[Column1]], I18, Table13[[#All],[Column3]], C100)),_xlfn.IFNA(IF($D$55="Country",SUM(SUMPRODUCT(SUMIFS(Stationary_Combustion[Biofuel CO2
(tonnes)], Stationary_Combustion[Year], I18,  Stationary_Combustion[Facility ID], AE58:AE67)), SUMPRODUCT(SUMIFS(Table13[[#All],[Column15]], Table13[[#All],[Column1]], I18, Table13[[#All],[Column3]], AE58:AE67))),""), ""))</f>
        <v>0</v>
      </c>
      <c r="J106" s="783" cm="1">
        <f t="array" ref="J106">IF($D$55="Facility", SUM(SUMIFS(Stationary_Combustion[Biofuel CO2
(tonnes)], Stationary_Combustion[Year], J18, Stationary_Combustion[Facility ID], C100), SUMIFS(Table13[[#All],[Column15]], Table13[[#All],[Column1]], J18, Table13[[#All],[Column3]], C100)),_xlfn.IFNA(IF($D$55="Country",SUM(SUMPRODUCT(SUMIFS(Stationary_Combustion[Biofuel CO2
(tonnes)], Stationary_Combustion[Year], J18,  Stationary_Combustion[Facility ID], AE58:AE67)), SUMPRODUCT(SUMIFS(Table13[[#All],[Column15]], Table13[[#All],[Column1]], J18, Table13[[#All],[Column3]], AE58:AE67))),""), ""))</f>
        <v>0</v>
      </c>
      <c r="K106" s="780" cm="1">
        <f t="array" ref="K106">IF($D$55="Facility", SUM(SUMIFS(Stationary_Combustion[Biofuel CO2
(tonnes)], Stationary_Combustion[Year], K18, Stationary_Combustion[Facility ID], C100), SUMIFS(Table13[[#All],[Column15]], Table13[[#All],[Column1]], K18, Table13[[#All],[Column3]], C100)),_xlfn.IFNA(IF($D$55="Country",SUM(SUMPRODUCT(SUMIFS(Stationary_Combustion[Biofuel CO2
(tonnes)], Stationary_Combustion[Year], K18,  Stationary_Combustion[Facility ID], AE58:AE67)), SUMPRODUCT(SUMIFS(Table13[[#All],[Column15]], Table13[[#All],[Column1]], K18, Table13[[#All],[Column3]], AE58:AE67))),""), ""))</f>
        <v>0</v>
      </c>
      <c r="V106" s="311"/>
    </row>
    <row r="107" spans="1:22" ht="18.75">
      <c r="A107" s="311"/>
      <c r="C107" s="999">
        <f>IF($D$55="Facility",Parameters!F50,_xlfn.IFNA(IF($D$55="Country",X65,""),""))</f>
        <v>8</v>
      </c>
      <c r="D107" s="697" t="s">
        <v>95</v>
      </c>
      <c r="E107" s="698" t="s">
        <v>88</v>
      </c>
      <c r="F107" s="781" cm="1">
        <f t="array" ref="F107">IF($D$55="Facility", SUMIFS(Stationary_Combustion[CO2e (tonnes)], Stationary_Combustion[Year], F18, Stationary_Combustion[Facility ID], C107),_xlfn.IFNA(IF($D$55="Country",SUMPRODUCT(SUMIFS(Stationary_Combustion[CO2e (tonnes)], Stationary_Combustion[Year], F18, Stationary_Combustion[Facility ID], AF58:AF67)),""), ""))</f>
        <v>0</v>
      </c>
      <c r="G107" s="781" cm="1">
        <f t="array" ref="G107">IF($D$55="Facility", SUMIFS(Stationary_Combustion[CO2e (tonnes)], Stationary_Combustion[Year], G18, Stationary_Combustion[Facility ID], C107),_xlfn.IFNA(IF($D$55="Country",SUMPRODUCT(SUMIFS(Stationary_Combustion[CO2e (tonnes)], Stationary_Combustion[Year], G18, Stationary_Combustion[Facility ID], AF58:AF67)),""), ""))</f>
        <v>0</v>
      </c>
      <c r="H107" s="781" cm="1">
        <f t="array" ref="H107">IF($D$55="Facility", SUMIFS(Stationary_Combustion[CO2e (tonnes)], Stationary_Combustion[Year], H18, Stationary_Combustion[Facility ID], C107),_xlfn.IFNA(IF($D$55="Country",SUMPRODUCT(SUMIFS(Stationary_Combustion[CO2e (tonnes)], Stationary_Combustion[Year], H18, Stationary_Combustion[Facility ID], AF58:AF67)),""), ""))</f>
        <v>0</v>
      </c>
      <c r="I107" s="781" cm="1">
        <f t="array" ref="I107">IF($D$55="Facility", SUMIFS(Stationary_Combustion[CO2e (tonnes)], Stationary_Combustion[Year], I18, Stationary_Combustion[Facility ID], C107),_xlfn.IFNA(IF($D$55="Country",SUMPRODUCT(SUMIFS(Stationary_Combustion[CO2e (tonnes)], Stationary_Combustion[Year], I18, Stationary_Combustion[Facility ID], AF58:AF67)),""), ""))</f>
        <v>0</v>
      </c>
      <c r="J107" s="781" cm="1">
        <f t="array" ref="J107">IF($D$55="Facility", SUMIFS(Stationary_Combustion[CO2e (tonnes)], Stationary_Combustion[Year], J18, Stationary_Combustion[Facility ID], C107),_xlfn.IFNA(IF($D$55="Country",SUMPRODUCT(SUMIFS(Stationary_Combustion[CO2e (tonnes)], Stationary_Combustion[Year], J18, Stationary_Combustion[Facility ID], AF58:AF67)),""), ""))</f>
        <v>0</v>
      </c>
      <c r="K107" s="782" cm="1">
        <f t="array" ref="K107">IF($D$55="Facility", SUMIFS(Stationary_Combustion[CO2e (tonnes)], Stationary_Combustion[Year], K18, Stationary_Combustion[Facility ID], C107),_xlfn.IFNA(IF($D$55="Country",SUMPRODUCT(SUMIFS(Stationary_Combustion[CO2e (tonnes)], Stationary_Combustion[Year], K18, Stationary_Combustion[Facility ID], AF58:AF67)),""), ""))</f>
        <v>0</v>
      </c>
      <c r="V107" s="311"/>
    </row>
    <row r="108" spans="1:22" ht="18.75">
      <c r="A108" s="311"/>
      <c r="C108" s="1000"/>
      <c r="D108" s="699"/>
      <c r="E108" s="421" t="s">
        <v>89</v>
      </c>
      <c r="F108" s="772" cm="1">
        <f t="array" ref="F108">IF($D$55="Facility", SUMIFS(Table13[[#All],[Column14]], Table13[[#All],[Column1]], F18, Table13[[#All],[Column3]], C107),_xlfn.IFNA(IF($D$55="Country",SUMPRODUCT(SUMIFS(Table13[[#All],[Column14]], Table13[[#All],[Column1]], F18, Table13[[#All],[Column3]], AF58:AF67)),""), ""))</f>
        <v>0</v>
      </c>
      <c r="G108" s="772" cm="1">
        <f t="array" ref="G108">IF($D$55="Facility", SUMIFS(Table13[[#All],[Column14]], Table13[[#All],[Column1]], G18, Table13[[#All],[Column3]], C107),_xlfn.IFNA(IF($D$55="Country",SUMPRODUCT(SUMIFS(Table13[[#All],[Column14]], Table13[[#All],[Column1]], G18, Table13[[#All],[Column3]], AF58:AF67)),""), ""))</f>
        <v>0</v>
      </c>
      <c r="H108" s="772" cm="1">
        <f t="array" ref="H108">IF($D$55="Facility", SUMIFS(Table13[[#All],[Column14]], Table13[[#All],[Column1]], H18, Table13[[#All],[Column3]], C107),_xlfn.IFNA(IF($D$55="Country",SUMPRODUCT(SUMIFS(Table13[[#All],[Column14]], Table13[[#All],[Column1]], H18, Table13[[#All],[Column3]], AF58:AF67)),""), ""))</f>
        <v>0</v>
      </c>
      <c r="I108" s="772" cm="1">
        <f t="array" ref="I108">IF($D$55="Facility", SUMIFS(Table13[[#All],[Column14]], Table13[[#All],[Column1]], I18, Table13[[#All],[Column3]], C107),_xlfn.IFNA(IF($D$55="Country",SUMPRODUCT(SUMIFS(Table13[[#All],[Column14]], Table13[[#All],[Column1]], I18, Table13[[#All],[Column3]], AF58:AF67)),""), ""))</f>
        <v>0</v>
      </c>
      <c r="J108" s="772" cm="1">
        <f t="array" ref="J108">IF($D$55="Facility", SUMIFS(Table13[[#All],[Column14]], Table13[[#All],[Column1]], J18, Table13[[#All],[Column3]], C107),_xlfn.IFNA(IF($D$55="Country",SUMPRODUCT(SUMIFS(Table13[[#All],[Column14]], Table13[[#All],[Column1]], J18, Table13[[#All],[Column3]], AF58:AF67)),""), ""))</f>
        <v>0</v>
      </c>
      <c r="K108" s="777" cm="1">
        <f t="array" ref="K108">IF($D$55="Facility", SUMIFS(Table13[[#All],[Column14]], Table13[[#All],[Column1]], K18, Table13[[#All],[Column3]], C107),_xlfn.IFNA(IF($D$55="Country",SUMPRODUCT(SUMIFS(Table13[[#All],[Column14]], Table13[[#All],[Column1]], K18, Table13[[#All],[Column3]], AF58:AF67)),""), ""))</f>
        <v>0</v>
      </c>
      <c r="V108" s="311"/>
    </row>
    <row r="109" spans="1:22" ht="18.75">
      <c r="A109" s="311"/>
      <c r="B109" s="894"/>
      <c r="C109" s="1000"/>
      <c r="D109" s="701"/>
      <c r="E109" s="423" t="s">
        <v>1437</v>
      </c>
      <c r="F109" s="773" cm="1">
        <f t="array" ref="F109">IF($D$55="Facility", SUM(SUMIFS('S1-Refrigerants'!P35:P52, 'S1-Refrigerants'!$B$35:$B$52, F18, 'S1-Refrigerants'!$C$35:$C$52, C107), SUMIFS('S1-Refrigerants'!U65:U82, 'S1-Refrigerants'!$B$65:$B$82, F18, 'S1-Refrigerants'!$C$65:$C$82, C107), SUMIFS('S1-Refrigerants'!O95:O112, 'S1-Refrigerants'!$B$95:$B$112, F18, 'S1-Refrigerants'!$C$95:$C$112, C107)), _xlfn.IFNA(IF($D$55="Country", SUM(SUMPRODUCT(SUMIFS('S1-Refrigerants'!$P$35:$P$52, 'S1-Refrigerants'!$B$35:$B$52, F18, 'S1-Refrigerants'!$C$35:$C$52, AF58:AF67)), SUMPRODUCT(SUMIFS('S1-Refrigerants'!$U$65:$U$82, 'S1-Refrigerants'!$B$65:$B$82, F18, 'S1-Refrigerants'!$C$65:$C$82, AF58:AF67)), SUMPRODUCT(SUMIFS('S1-Refrigerants'!$O$95:$O$112, 'S1-Refrigerants'!$B$95:$B$112, F18, 'S1-Refrigerants'!$C$95:$C$112, AF58:AF67)))),""))</f>
        <v>0</v>
      </c>
      <c r="G109" s="773" cm="1">
        <f t="array" ref="G109">IF($D$55="Facility", SUM(SUMIFS('S1-Refrigerants'!P35:P52, 'S1-Refrigerants'!$B$35:$B$52, G18, 'S1-Refrigerants'!$C$35:$C$52, C107), SUMIFS('S1-Refrigerants'!U65:U82, 'S1-Refrigerants'!$B$65:$B$82, G18, 'S1-Refrigerants'!$C$65:$C$82, C107), SUMIFS('S1-Refrigerants'!O95:O112, 'S1-Refrigerants'!$B$95:$B$112, G18, 'S1-Refrigerants'!$C$95:$C$112, C107)), _xlfn.IFNA(IF($D$55="Country", SUM(SUMPRODUCT(SUMIFS('S1-Refrigerants'!$P$35:$P$52, 'S1-Refrigerants'!$B$35:$B$52, G18, 'S1-Refrigerants'!$C$35:$C$52, AF58:AF67)), SUMPRODUCT(SUMIFS('S1-Refrigerants'!$U$65:$U$82, 'S1-Refrigerants'!$B$65:$B$82, G18, 'S1-Refrigerants'!$C$65:$C$82, AF58:AF67)), SUMPRODUCT(SUMIFS('S1-Refrigerants'!$O$95:$O$112, 'S1-Refrigerants'!$B$95:$B$112, G18, 'S1-Refrigerants'!$C$95:$C$112, AF58:AF67)))),""))</f>
        <v>0</v>
      </c>
      <c r="H109" s="773" cm="1">
        <f t="array" ref="H109">IF($D$55="Facility", SUM(SUMIFS('S1-Refrigerants'!P35:P52, 'S1-Refrigerants'!$B$35:$B$52, H18, 'S1-Refrigerants'!$C$35:$C$52, C107), SUMIFS('S1-Refrigerants'!U65:U82, 'S1-Refrigerants'!$B$65:$B$82, H18, 'S1-Refrigerants'!$C$65:$C$82, C107), SUMIFS('S1-Refrigerants'!O95:O112, 'S1-Refrigerants'!$B$95:$B$112, H18, 'S1-Refrigerants'!$C$95:$C$112, C107)), _xlfn.IFNA(IF($D$55="Country", SUM(SUMPRODUCT(SUMIFS('S1-Refrigerants'!$P$35:$P$52, 'S1-Refrigerants'!$B$35:$B$52, H18, 'S1-Refrigerants'!$C$35:$C$52, AF58:AF67)), SUMPRODUCT(SUMIFS('S1-Refrigerants'!$U$65:$U$82, 'S1-Refrigerants'!$B$65:$B$82, H18, 'S1-Refrigerants'!$C$65:$C$82, AF58:AF67)), SUMPRODUCT(SUMIFS('S1-Refrigerants'!$O$95:$O$112, 'S1-Refrigerants'!$B$95:$B$112, H18, 'S1-Refrigerants'!$C$95:$C$112, AF58:AF67)))),""))</f>
        <v>0</v>
      </c>
      <c r="I109" s="773" cm="1">
        <f t="array" ref="I109">IF($D$55="Facility", SUM(SUMIFS('S1-Refrigerants'!P35:P52, 'S1-Refrigerants'!$B$35:$B$52, I18, 'S1-Refrigerants'!$C$35:$C$52, C107), SUMIFS('S1-Refrigerants'!U65:U82, 'S1-Refrigerants'!$B$65:$B$82, I18, 'S1-Refrigerants'!$C$65:$C$82, C107), SUMIFS('S1-Refrigerants'!O95:O112, 'S1-Refrigerants'!$B$95:$B$112, I18, 'S1-Refrigerants'!$C$95:$C$112, C107)), _xlfn.IFNA(IF($D$55="Country", SUM(SUMPRODUCT(SUMIFS('S1-Refrigerants'!$P$35:$P$52, 'S1-Refrigerants'!$B$35:$B$52, I18, 'S1-Refrigerants'!$C$35:$C$52, AF58:AF67)), SUMPRODUCT(SUMIFS('S1-Refrigerants'!$U$65:$U$82, 'S1-Refrigerants'!$B$65:$B$82, I18, 'S1-Refrigerants'!$C$65:$C$82, AF58:AF67)), SUMPRODUCT(SUMIFS('S1-Refrigerants'!$O$95:$O$112, 'S1-Refrigerants'!$B$95:$B$112, I18, 'S1-Refrigerants'!$C$95:$C$112, AF58:AF67)))),""))</f>
        <v>0</v>
      </c>
      <c r="J109" s="773" cm="1">
        <f t="array" ref="J109">IF($D$55="Facility", SUM(SUMIFS('S1-Refrigerants'!P35:P52, 'S1-Refrigerants'!$B$35:$B$52, J18, 'S1-Refrigerants'!$C$35:$C$52, C107), SUMIFS('S1-Refrigerants'!U65:U82, 'S1-Refrigerants'!$B$65:$B$82, J18, 'S1-Refrigerants'!$C$65:$C$82, C107), SUMIFS('S1-Refrigerants'!O95:O112, 'S1-Refrigerants'!$B$95:$B$112, J18, 'S1-Refrigerants'!$C$95:$C$112, C107)), _xlfn.IFNA(IF($D$55="Country", SUM(SUMPRODUCT(SUMIFS('S1-Refrigerants'!$P$35:$P$52, 'S1-Refrigerants'!$B$35:$B$52, J18, 'S1-Refrigerants'!$C$35:$C$52, AF58:AF67)), SUMPRODUCT(SUMIFS('S1-Refrigerants'!$U$65:$U$82, 'S1-Refrigerants'!$B$65:$B$82, J18, 'S1-Refrigerants'!$C$65:$C$82, AF58:AF67)), SUMPRODUCT(SUMIFS('S1-Refrigerants'!$O$95:$O$112, 'S1-Refrigerants'!$B$95:$B$112, J18, 'S1-Refrigerants'!$C$95:$C$112, AF58:AF67)))),""))</f>
        <v>0</v>
      </c>
      <c r="K109" s="778" cm="1">
        <f t="array" ref="K109">IF($D$55="Facility", SUM(SUMIFS('S1-Refrigerants'!P35:P52, 'S1-Refrigerants'!$B$35:$B$52, K18, 'S1-Refrigerants'!$C$35:$C$52, C107), SUMIFS('S1-Refrigerants'!U65:U82, 'S1-Refrigerants'!$B$65:$B$82, K18, 'S1-Refrigerants'!$C$65:$C$82, C107), SUMIFS('S1-Refrigerants'!O95:O112, 'S1-Refrigerants'!$B$95:$B$112, K18, 'S1-Refrigerants'!$C$95:$C$112, C107)), _xlfn.IFNA(IF($D$55="Country", SUM(SUMPRODUCT(SUMIFS('S1-Refrigerants'!$P$35:$P$52, 'S1-Refrigerants'!$B$35:$B$52, K18, 'S1-Refrigerants'!$C$35:$C$52, AF58:AF67)), SUMPRODUCT(SUMIFS('S1-Refrigerants'!$U$65:$U$82, 'S1-Refrigerants'!$B$65:$B$82, K18, 'S1-Refrigerants'!$C$65:$C$82, AF58:AF67)), SUMPRODUCT(SUMIFS('S1-Refrigerants'!$O$95:$O$112, 'S1-Refrigerants'!$B$95:$B$112, K18, 'S1-Refrigerants'!$C$95:$C$112, AF58:AF67)))),""))</f>
        <v>0</v>
      </c>
      <c r="V109" s="311"/>
    </row>
    <row r="110" spans="1:22" ht="18.75">
      <c r="A110" s="311"/>
      <c r="B110" s="894"/>
      <c r="C110" s="1000"/>
      <c r="D110" s="700" t="s">
        <v>100</v>
      </c>
      <c r="E110" s="776" t="s">
        <v>1438</v>
      </c>
      <c r="F110" s="774" cm="1">
        <f t="array" ref="F110">IF($D$55="Facility", SUMIFS(Purchased_Electricity[CO2e (tonnes)], Purchased_Electricity[Year], F18, Purchased_Electricity[Calculation Approach], Dropdowns!$S$2, Purchased_Electricity[Facility ID], C107), _xlfn.IFNA(IF($D$55="Country",SUMPRODUCT(SUMIFS(Purchased_Electricity[CO2e (tonnes)], Purchased_Electricity[Year], F18, Purchased_Electricity[Calculation Approach], Dropdowns!$S$2, Purchased_Electricity[Facility ID], AF58:AF67)),""), ""))</f>
        <v>0</v>
      </c>
      <c r="G110" s="774" cm="1">
        <f t="array" ref="G110">IF($D$55="Facility", SUMIFS(Purchased_Electricity[CO2e (tonnes)], Purchased_Electricity[Year], G18, Purchased_Electricity[Calculation Approach], Dropdowns!$S$2, Purchased_Electricity[Facility ID], C107), _xlfn.IFNA(IF($D$55="Country",SUMPRODUCT(SUMIFS(Purchased_Electricity[CO2e (tonnes)], Purchased_Electricity[Year], G18, Purchased_Electricity[Calculation Approach], Dropdowns!$S$2, Purchased_Electricity[Facility ID], AF58:AF67)),""), ""))</f>
        <v>0</v>
      </c>
      <c r="H110" s="774" cm="1">
        <f t="array" ref="H110">IF($D$55="Facility", SUMIFS(Purchased_Electricity[CO2e (tonnes)], Purchased_Electricity[Year], H18, Purchased_Electricity[Calculation Approach], Dropdowns!$S$2, Purchased_Electricity[Facility ID], C107), _xlfn.IFNA(IF($D$55="Country",SUMPRODUCT(SUMIFS(Purchased_Electricity[CO2e (tonnes)], Purchased_Electricity[Year], H18, Purchased_Electricity[Calculation Approach], Dropdowns!$S$2, Purchased_Electricity[Facility ID], AF58:AF67)),""), ""))</f>
        <v>0</v>
      </c>
      <c r="I110" s="774" cm="1">
        <f t="array" ref="I110">IF($D$55="Facility", SUMIFS(Purchased_Electricity[CO2e (tonnes)], Purchased_Electricity[Year], I18, Purchased_Electricity[Calculation Approach], Dropdowns!$S$2, Purchased_Electricity[Facility ID], C107), _xlfn.IFNA(IF($D$55="Country",SUMPRODUCT(SUMIFS(Purchased_Electricity[CO2e (tonnes)], Purchased_Electricity[Year], I18, Purchased_Electricity[Calculation Approach], Dropdowns!$S$2, Purchased_Electricity[Facility ID], AF58:AF67)),""), ""))</f>
        <v>0</v>
      </c>
      <c r="J110" s="774" cm="1">
        <f t="array" ref="J110">IF($D$55="Facility", SUMIFS(Purchased_Electricity[CO2e (tonnes)], Purchased_Electricity[Year], J18, Purchased_Electricity[Calculation Approach], Dropdowns!$S$2, Purchased_Electricity[Facility ID], C107), _xlfn.IFNA(IF($D$55="Country",SUMPRODUCT(SUMIFS(Purchased_Electricity[CO2e (tonnes)], Purchased_Electricity[Year], J18, Purchased_Electricity[Calculation Approach], Dropdowns!$S$2, Purchased_Electricity[Facility ID], AF58:AF67)),""), ""))</f>
        <v>0</v>
      </c>
      <c r="K110" s="779" cm="1">
        <f t="array" ref="K110">IF($D$55="Facility", SUMIFS(Purchased_Electricity[CO2e (tonnes)], Purchased_Electricity[Year], K18, Purchased_Electricity[Calculation Approach], Dropdowns!$S$2, Purchased_Electricity[Facility ID], C107), _xlfn.IFNA(IF($D$55="Country",SUMPRODUCT(SUMIFS(Purchased_Electricity[CO2e (tonnes)], Purchased_Electricity[Year], K18, Purchased_Electricity[Calculation Approach], Dropdowns!$S$2, Purchased_Electricity[Facility ID], AF58:AF67)),""), ""))</f>
        <v>0</v>
      </c>
      <c r="V110" s="311"/>
    </row>
    <row r="111" spans="1:22" ht="18.75">
      <c r="A111" s="311"/>
      <c r="B111" s="894"/>
      <c r="C111" s="1000"/>
      <c r="D111" s="699"/>
      <c r="E111" s="776" t="s">
        <v>1439</v>
      </c>
      <c r="F111" s="772" cm="1">
        <f t="array" ref="F111">IF($D$55="Facility", SUMIFS(Purchased_Electricity[CO2e (tonnes)], Purchased_Electricity[Year], F18, Purchased_Electricity[Calculation Approach], Dropdowns!$S$3, Purchased_Electricity[Facility ID], C107), _xlfn.IFNA(IF($D$55="Country",SUMPRODUCT(SUMIFS(Purchased_Electricity[CO2e (tonnes)], Purchased_Electricity[Year], F18, Purchased_Electricity[Calculation Approach], Dropdowns!$S$3, Purchased_Electricity[Facility ID], AF58:AF67)),""), ""))</f>
        <v>0</v>
      </c>
      <c r="G111" s="772" cm="1">
        <f t="array" ref="G111">IF($D$55="Facility", SUMIFS(Purchased_Electricity[CO2e (tonnes)], Purchased_Electricity[Year], G18, Purchased_Electricity[Calculation Approach], Dropdowns!$S$3, Purchased_Electricity[Facility ID], C107), _xlfn.IFNA(IF($D$55="Country",SUMPRODUCT(SUMIFS(Purchased_Electricity[CO2e (tonnes)], Purchased_Electricity[Year], G18, Purchased_Electricity[Calculation Approach], Dropdowns!$S$3, Purchased_Electricity[Facility ID], AF58:AF67)),""), ""))</f>
        <v>0</v>
      </c>
      <c r="H111" s="772" cm="1">
        <f t="array" ref="H111">IF($D$55="Facility", SUMIFS(Purchased_Electricity[CO2e (tonnes)], Purchased_Electricity[Year], H18, Purchased_Electricity[Calculation Approach], Dropdowns!$S$3, Purchased_Electricity[Facility ID], C107), _xlfn.IFNA(IF($D$55="Country",SUMPRODUCT(SUMIFS(Purchased_Electricity[CO2e (tonnes)], Purchased_Electricity[Year], H18, Purchased_Electricity[Calculation Approach], Dropdowns!$S$3, Purchased_Electricity[Facility ID], AF58:AF67)),""), ""))</f>
        <v>0</v>
      </c>
      <c r="I111" s="772" cm="1">
        <f t="array" ref="I111">IF($D$55="Facility", SUMIFS(Purchased_Electricity[CO2e (tonnes)], Purchased_Electricity[Year], I18, Purchased_Electricity[Calculation Approach], Dropdowns!$S$3, Purchased_Electricity[Facility ID], C107), _xlfn.IFNA(IF($D$55="Country",SUMPRODUCT(SUMIFS(Purchased_Electricity[CO2e (tonnes)], Purchased_Electricity[Year], I18, Purchased_Electricity[Calculation Approach], Dropdowns!$S$3, Purchased_Electricity[Facility ID], AF58:AF67)),""), ""))</f>
        <v>0</v>
      </c>
      <c r="J111" s="772" cm="1">
        <f t="array" ref="J111">IF($D$55="Facility", SUMIFS(Purchased_Electricity[CO2e (tonnes)], Purchased_Electricity[Year], J18, Purchased_Electricity[Calculation Approach], Dropdowns!$S$3, Purchased_Electricity[Facility ID], C107), _xlfn.IFNA(IF($D$55="Country",SUMPRODUCT(SUMIFS(Purchased_Electricity[CO2e (tonnes)], Purchased_Electricity[Year], J18, Purchased_Electricity[Calculation Approach], Dropdowns!$S$3, Purchased_Electricity[Facility ID], AF58:AF67)),""), ""))</f>
        <v>0</v>
      </c>
      <c r="K111" s="777" cm="1">
        <f t="array" ref="K111">IF($D$55="Facility", SUMIFS(Purchased_Electricity[CO2e (tonnes)], Purchased_Electricity[Year], K18, Purchased_Electricity[Calculation Approach], Dropdowns!$S$3, Purchased_Electricity[Facility ID], C107), _xlfn.IFNA(IF($D$55="Country",SUMPRODUCT(SUMIFS(Purchased_Electricity[CO2e (tonnes)], Purchased_Electricity[Year], K18, Purchased_Electricity[Calculation Approach], Dropdowns!$S$3, Purchased_Electricity[Facility ID], AF58:AF67)),""), ""))</f>
        <v>0</v>
      </c>
      <c r="V111" s="311"/>
    </row>
    <row r="112" spans="1:22" ht="18.75">
      <c r="A112" s="311"/>
      <c r="B112" s="894"/>
      <c r="C112" s="1000"/>
      <c r="D112" s="701"/>
      <c r="E112" s="423" t="s">
        <v>1440</v>
      </c>
      <c r="F112" s="773" cm="1">
        <f t="array" ref="F112">IF($D$55="Facility", SUMIFS(Purchased_Electricity[CO2e (tonnes)], Purchased_Electricity[Year], F18, Purchased_Electricity[Calculation Approach], Dropdowns!$S$4, Purchased_Electricity[Facility ID], C107), _xlfn.IFNA(IF($D$55="Country",SUMPRODUCT(SUMIFS(Purchased_Electricity[CO2e (tonnes)], Purchased_Electricity[Year], F18, Purchased_Electricity[Calculation Approach], Dropdowns!$S$4, Purchased_Electricity[Facility ID], AF58:AF67)),""), ""))</f>
        <v>0</v>
      </c>
      <c r="G112" s="773" cm="1">
        <f t="array" ref="G112">IF($D$55="Facility", SUMIFS(Purchased_Electricity[CO2e (tonnes)], Purchased_Electricity[Year], G18, Purchased_Electricity[Calculation Approach], Dropdowns!$S$4, Purchased_Electricity[Facility ID], C107), _xlfn.IFNA(IF($D$55="Country",SUMPRODUCT(SUMIFS(Purchased_Electricity[CO2e (tonnes)], Purchased_Electricity[Year], G18, Purchased_Electricity[Calculation Approach], Dropdowns!$S$4, Purchased_Electricity[Facility ID], AF58:AF67)),""), ""))</f>
        <v>0</v>
      </c>
      <c r="H112" s="773" cm="1">
        <f t="array" ref="H112">IF($D$55="Facility", SUMIFS(Purchased_Electricity[CO2e (tonnes)], Purchased_Electricity[Year], H18, Purchased_Electricity[Calculation Approach], Dropdowns!$S$4, Purchased_Electricity[Facility ID], C107), _xlfn.IFNA(IF($D$55="Country",SUMPRODUCT(SUMIFS(Purchased_Electricity[CO2e (tonnes)], Purchased_Electricity[Year], H18, Purchased_Electricity[Calculation Approach], Dropdowns!$S$4, Purchased_Electricity[Facility ID], AF58:AF67)),""), ""))</f>
        <v>0</v>
      </c>
      <c r="I112" s="773" cm="1">
        <f t="array" ref="I112">IF($D$55="Facility", SUMIFS(Purchased_Electricity[CO2e (tonnes)], Purchased_Electricity[Year], I18, Purchased_Electricity[Calculation Approach], Dropdowns!$S$4, Purchased_Electricity[Facility ID], C107), _xlfn.IFNA(IF($D$55="Country",SUMPRODUCT(SUMIFS(Purchased_Electricity[CO2e (tonnes)], Purchased_Electricity[Year], I18, Purchased_Electricity[Calculation Approach], Dropdowns!$S$4, Purchased_Electricity[Facility ID], AF58:AF67)),""), ""))</f>
        <v>0</v>
      </c>
      <c r="J112" s="773" cm="1">
        <f t="array" ref="J112">IF($D$55="Facility", SUMIFS(Purchased_Electricity[CO2e (tonnes)], Purchased_Electricity[Year], J18, Purchased_Electricity[Calculation Approach], Dropdowns!$S$4, Purchased_Electricity[Facility ID], C107), _xlfn.IFNA(IF($D$55="Country",SUMPRODUCT(SUMIFS(Purchased_Electricity[CO2e (tonnes)], Purchased_Electricity[Year], J18, Purchased_Electricity[Calculation Approach], Dropdowns!$S$4, Purchased_Electricity[Facility ID], AF58:AF67)),""), ""))</f>
        <v>0</v>
      </c>
      <c r="K112" s="778" cm="1">
        <f t="array" ref="K112">IF($D$55="Facility", SUMIFS(Purchased_Electricity[CO2e (tonnes)], Purchased_Electricity[Year], K18, Purchased_Electricity[Calculation Approach], Dropdowns!$S$4, Purchased_Electricity[Facility ID], C107), _xlfn.IFNA(IF($D$55="Country",SUMPRODUCT(SUMIFS(Purchased_Electricity[CO2e (tonnes)], Purchased_Electricity[Year], K18, Purchased_Electricity[Calculation Approach], Dropdowns!$S$4, Purchased_Electricity[Facility ID], AF58:AF67)),""), ""))</f>
        <v>0</v>
      </c>
      <c r="V112" s="311"/>
    </row>
    <row r="113" spans="1:22" ht="19.5" thickBot="1">
      <c r="A113" s="311"/>
      <c r="B113" s="894"/>
      <c r="C113" s="1001"/>
      <c r="D113" s="702" t="s">
        <v>1430</v>
      </c>
      <c r="E113" s="703"/>
      <c r="F113" s="783" cm="1">
        <f t="array" ref="F113">IF($D$55="Facility", SUM(SUMIFS(Stationary_Combustion[Biofuel CO2
(tonnes)], Stationary_Combustion[Year], F18, Stationary_Combustion[Facility ID], C107), SUMIFS(Table13[[#All],[Column15]], Table13[[#All],[Column1]], F18, Table13[[#All],[Column3]], C107)),_xlfn.IFNA(IF($D$55="Country",SUM(SUMPRODUCT(SUMIFS(Stationary_Combustion[Biofuel CO2
(tonnes)], Stationary_Combustion[Year], F18,  Stationary_Combustion[Facility ID], AF58:AF67)), SUMPRODUCT(SUMIFS(Table13[[#All],[Column15]], Table13[[#All],[Column1]], F18, Table13[[#All],[Column3]], AF58:AF67))),""), ""))</f>
        <v>0</v>
      </c>
      <c r="G113" s="783" cm="1">
        <f t="array" ref="G113">IF($D$55="Facility", SUM(SUMIFS(Stationary_Combustion[Biofuel CO2
(tonnes)], Stationary_Combustion[Year], G18, Stationary_Combustion[Facility ID], C107), SUMIFS(Table13[[#All],[Column15]], Table13[[#All],[Column1]], G18, Table13[[#All],[Column3]], C107)),_xlfn.IFNA(IF($D$55="Country",SUM(SUMPRODUCT(SUMIFS(Stationary_Combustion[Biofuel CO2
(tonnes)], Stationary_Combustion[Year], G18,  Stationary_Combustion[Facility ID], AF58:AF67)), SUMPRODUCT(SUMIFS(Table13[[#All],[Column15]], Table13[[#All],[Column1]], G18, Table13[[#All],[Column3]], AF58:AF67))),""), ""))</f>
        <v>0</v>
      </c>
      <c r="H113" s="783" cm="1">
        <f t="array" ref="H113">IF($D$55="Facility", SUM(SUMIFS(Stationary_Combustion[Biofuel CO2
(tonnes)], Stationary_Combustion[Year], H18, Stationary_Combustion[Facility ID], C107), SUMIFS(Table13[[#All],[Column15]], Table13[[#All],[Column1]], H18, Table13[[#All],[Column3]], C107)),_xlfn.IFNA(IF($D$55="Country",SUM(SUMPRODUCT(SUMIFS(Stationary_Combustion[Biofuel CO2
(tonnes)], Stationary_Combustion[Year], H18,  Stationary_Combustion[Facility ID], AF58:AF67)), SUMPRODUCT(SUMIFS(Table13[[#All],[Column15]], Table13[[#All],[Column1]], H18, Table13[[#All],[Column3]], AF58:AF67))),""), ""))</f>
        <v>0</v>
      </c>
      <c r="I113" s="783" cm="1">
        <f t="array" ref="I113">IF($D$55="Facility", SUM(SUMIFS(Stationary_Combustion[Biofuel CO2
(tonnes)], Stationary_Combustion[Year], I18, Stationary_Combustion[Facility ID], C107), SUMIFS(Table13[[#All],[Column15]], Table13[[#All],[Column1]], I18, Table13[[#All],[Column3]], C107)),_xlfn.IFNA(IF($D$55="Country",SUM(SUMPRODUCT(SUMIFS(Stationary_Combustion[Biofuel CO2
(tonnes)], Stationary_Combustion[Year], I18,  Stationary_Combustion[Facility ID], AF58:AF67)), SUMPRODUCT(SUMIFS(Table13[[#All],[Column15]], Table13[[#All],[Column1]], I18, Table13[[#All],[Column3]], AF58:AF67))),""), ""))</f>
        <v>0</v>
      </c>
      <c r="J113" s="783" cm="1">
        <f t="array" ref="J113">IF($D$55="Facility", SUM(SUMIFS(Stationary_Combustion[Biofuel CO2
(tonnes)], Stationary_Combustion[Year], J18, Stationary_Combustion[Facility ID], C107), SUMIFS(Table13[[#All],[Column15]], Table13[[#All],[Column1]], J18, Table13[[#All],[Column3]], C107)),_xlfn.IFNA(IF($D$55="Country",SUM(SUMPRODUCT(SUMIFS(Stationary_Combustion[Biofuel CO2
(tonnes)], Stationary_Combustion[Year], J18,  Stationary_Combustion[Facility ID], AF58:AF67)), SUMPRODUCT(SUMIFS(Table13[[#All],[Column15]], Table13[[#All],[Column1]], J18, Table13[[#All],[Column3]], AF58:AF67))),""), ""))</f>
        <v>0</v>
      </c>
      <c r="K113" s="780" cm="1">
        <f t="array" ref="K113">IF($D$55="Facility", SUM(SUMIFS(Stationary_Combustion[Biofuel CO2
(tonnes)], Stationary_Combustion[Year], K18, Stationary_Combustion[Facility ID], C107), SUMIFS(Table13[[#All],[Column15]], Table13[[#All],[Column1]], K18, Table13[[#All],[Column3]], C107)),_xlfn.IFNA(IF($D$55="Country",SUM(SUMPRODUCT(SUMIFS(Stationary_Combustion[Biofuel CO2
(tonnes)], Stationary_Combustion[Year], K18,  Stationary_Combustion[Facility ID], AF58:AF67)), SUMPRODUCT(SUMIFS(Table13[[#All],[Column15]], Table13[[#All],[Column1]], K18, Table13[[#All],[Column3]], AF58:AF67))),""), ""))</f>
        <v>0</v>
      </c>
      <c r="V113" s="311"/>
    </row>
    <row r="114" spans="1:22" ht="18.75">
      <c r="A114" s="311"/>
      <c r="B114" s="894"/>
      <c r="C114" s="999">
        <f>IF($D$55="Facility",Parameters!F51,_xlfn.IFNA(IF($D$55="Country",X66,""),""))</f>
        <v>9</v>
      </c>
      <c r="D114" s="697" t="s">
        <v>95</v>
      </c>
      <c r="E114" s="698" t="s">
        <v>88</v>
      </c>
      <c r="F114" s="781" cm="1">
        <f t="array" ref="F114">IF($D$55="Facility", SUMIFS(Stationary_Combustion[CO2e (tonnes)], Stationary_Combustion[Year], F18, Stationary_Combustion[Facility ID], C114),_xlfn.IFNA(IF($D$55="Country",SUMPRODUCT(SUMIFS(Stationary_Combustion[CO2e (tonnes)], Stationary_Combustion[Year], F18, Stationary_Combustion[Facility ID], AG58:AG67)),""), ""))</f>
        <v>0</v>
      </c>
      <c r="G114" s="781" cm="1">
        <f t="array" ref="G114">IF($D$55="Facility", SUMIFS(Stationary_Combustion[CO2e (tonnes)], Stationary_Combustion[Year], G18, Stationary_Combustion[Facility ID], C114),_xlfn.IFNA(IF($D$55="Country",SUMPRODUCT(SUMIFS(Stationary_Combustion[CO2e (tonnes)], Stationary_Combustion[Year], G18, Stationary_Combustion[Facility ID], AG58:AG67)),""), ""))</f>
        <v>0</v>
      </c>
      <c r="H114" s="781" cm="1">
        <f t="array" ref="H114">IF($D$55="Facility", SUMIFS(Stationary_Combustion[CO2e (tonnes)], Stationary_Combustion[Year], H18, Stationary_Combustion[Facility ID], C114),_xlfn.IFNA(IF($D$55="Country",SUMPRODUCT(SUMIFS(Stationary_Combustion[CO2e (tonnes)], Stationary_Combustion[Year], H18, Stationary_Combustion[Facility ID], AG58:AG67)),""), ""))</f>
        <v>0</v>
      </c>
      <c r="I114" s="781" cm="1">
        <f t="array" ref="I114">IF($D$55="Facility", SUMIFS(Stationary_Combustion[CO2e (tonnes)], Stationary_Combustion[Year], I18, Stationary_Combustion[Facility ID], C114),_xlfn.IFNA(IF($D$55="Country",SUMPRODUCT(SUMIFS(Stationary_Combustion[CO2e (tonnes)], Stationary_Combustion[Year], I18, Stationary_Combustion[Facility ID], AG58:AG67)),""), ""))</f>
        <v>0</v>
      </c>
      <c r="J114" s="781" cm="1">
        <f t="array" ref="J114">IF($D$55="Facility", SUMIFS(Stationary_Combustion[CO2e (tonnes)], Stationary_Combustion[Year], J18, Stationary_Combustion[Facility ID], C114),_xlfn.IFNA(IF($D$55="Country",SUMPRODUCT(SUMIFS(Stationary_Combustion[CO2e (tonnes)], Stationary_Combustion[Year], J18, Stationary_Combustion[Facility ID], AG58:AG67)),""), ""))</f>
        <v>0</v>
      </c>
      <c r="K114" s="782" cm="1">
        <f t="array" ref="K114">IF($D$55="Facility", SUMIFS(Stationary_Combustion[CO2e (tonnes)], Stationary_Combustion[Year], K18, Stationary_Combustion[Facility ID], C114),_xlfn.IFNA(IF($D$55="Country",SUMPRODUCT(SUMIFS(Stationary_Combustion[CO2e (tonnes)], Stationary_Combustion[Year], K18, Stationary_Combustion[Facility ID], AG58:AG67)),""), ""))</f>
        <v>0</v>
      </c>
      <c r="V114" s="311"/>
    </row>
    <row r="115" spans="1:22" ht="18.75">
      <c r="A115" s="311"/>
      <c r="B115" s="894"/>
      <c r="C115" s="1000"/>
      <c r="D115" s="699"/>
      <c r="E115" s="421" t="s">
        <v>89</v>
      </c>
      <c r="F115" s="772" cm="1">
        <f t="array" ref="F115">IF($D$55="Facility", SUMIFS(Table13[[#All],[Column14]], Table13[[#All],[Column1]], F18, Table13[[#All],[Column3]], C114),_xlfn.IFNA(IF($D$55="Country",SUMPRODUCT(SUMIFS(Table13[[#All],[Column14]], Table13[[#All],[Column1]], F18, Table13[[#All],[Column3]], AG58:AG67)),""), ""))</f>
        <v>0</v>
      </c>
      <c r="G115" s="772" cm="1">
        <f t="array" ref="G115">IF($D$55="Facility", SUMIFS(Table13[[#All],[Column14]], Table13[[#All],[Column1]], G18, Table13[[#All],[Column3]], C114),_xlfn.IFNA(IF($D$55="Country",SUMPRODUCT(SUMIFS(Table13[[#All],[Column14]], Table13[[#All],[Column1]], G18, Table13[[#All],[Column3]], AG58:AG67)),""), ""))</f>
        <v>0</v>
      </c>
      <c r="H115" s="772" cm="1">
        <f t="array" ref="H115">IF($D$55="Facility", SUMIFS(Table13[[#All],[Column14]], Table13[[#All],[Column1]], H18, Table13[[#All],[Column3]], C114),_xlfn.IFNA(IF($D$55="Country",SUMPRODUCT(SUMIFS(Table13[[#All],[Column14]], Table13[[#All],[Column1]], H18, Table13[[#All],[Column3]], AG58:AG67)),""), ""))</f>
        <v>0</v>
      </c>
      <c r="I115" s="772" cm="1">
        <f t="array" ref="I115">IF($D$55="Facility", SUMIFS(Table13[[#All],[Column14]], Table13[[#All],[Column1]], I18, Table13[[#All],[Column3]], C114),_xlfn.IFNA(IF($D$55="Country",SUMPRODUCT(SUMIFS(Table13[[#All],[Column14]], Table13[[#All],[Column1]], I18, Table13[[#All],[Column3]], AG58:AG67)),""), ""))</f>
        <v>0</v>
      </c>
      <c r="J115" s="772" cm="1">
        <f t="array" ref="J115">IF($D$55="Facility", SUMIFS(Table13[[#All],[Column14]], Table13[[#All],[Column1]], J18, Table13[[#All],[Column3]], C114),_xlfn.IFNA(IF($D$55="Country",SUMPRODUCT(SUMIFS(Table13[[#All],[Column14]], Table13[[#All],[Column1]], J18, Table13[[#All],[Column3]], AG58:AG67)),""), ""))</f>
        <v>0</v>
      </c>
      <c r="K115" s="777" cm="1">
        <f t="array" ref="K115">IF($D$55="Facility", SUMIFS(Table13[[#All],[Column14]], Table13[[#All],[Column1]], K18, Table13[[#All],[Column3]], C114),_xlfn.IFNA(IF($D$55="Country",SUMPRODUCT(SUMIFS(Table13[[#All],[Column14]], Table13[[#All],[Column1]], K18, Table13[[#All],[Column3]], AG58:AG67)),""), ""))</f>
        <v>0</v>
      </c>
      <c r="V115" s="311"/>
    </row>
    <row r="116" spans="1:22" ht="18.75">
      <c r="A116" s="311"/>
      <c r="B116" s="894"/>
      <c r="C116" s="1000"/>
      <c r="D116" s="701"/>
      <c r="E116" s="423" t="s">
        <v>1437</v>
      </c>
      <c r="F116" s="773" cm="1">
        <f t="array" ref="F116">IF($D$55="Facility", SUM(SUMIFS('S1-Refrigerants'!P35:P52, 'S1-Refrigerants'!$B$35:$B$52, F18, 'S1-Refrigerants'!$C$35:$C$52, C114), SUMIFS('S1-Refrigerants'!U65:U82, 'S1-Refrigerants'!$B$65:$B$82, F18, 'S1-Refrigerants'!$C$65:$C$82, C114), SUMIFS('S1-Refrigerants'!O95:O112, 'S1-Refrigerants'!$B$95:$B$112, F18, 'S1-Refrigerants'!$C$95:$C$112, C114)), _xlfn.IFNA(IF($D$55="Country", SUM(SUMPRODUCT(SUMIFS('S1-Refrigerants'!$P$35:$P$52, 'S1-Refrigerants'!$B$35:$B$52, F18, 'S1-Refrigerants'!$C$35:$C$52, AG58:AG67)), SUMPRODUCT(SUMIFS('S1-Refrigerants'!$U$65:$U$82, 'S1-Refrigerants'!$B$65:$B$82, F18, 'S1-Refrigerants'!$C$65:$C$82, AG58:AG67)), SUMPRODUCT(SUMIFS('S1-Refrigerants'!$O$95:$O$112, 'S1-Refrigerants'!$B$95:$B$112, F18, 'S1-Refrigerants'!$C$95:$C$112, AG58:AG67)))),""))</f>
        <v>0</v>
      </c>
      <c r="G116" s="773" cm="1">
        <f t="array" ref="G116">IF($D$55="Facility", SUM(SUMIFS('S1-Refrigerants'!P35:P52, 'S1-Refrigerants'!$B$35:$B$52, G18, 'S1-Refrigerants'!$C$35:$C$52, C114), SUMIFS('S1-Refrigerants'!U65:U82, 'S1-Refrigerants'!$B$65:$B$82, G18, 'S1-Refrigerants'!$C$65:$C$82, C114), SUMIFS('S1-Refrigerants'!O95:O112, 'S1-Refrigerants'!$B$95:$B$112, G18, 'S1-Refrigerants'!$C$95:$C$112, C114)), _xlfn.IFNA(IF($D$55="Country", SUM(SUMPRODUCT(SUMIFS('S1-Refrigerants'!$P$35:$P$52, 'S1-Refrigerants'!$B$35:$B$52, G18, 'S1-Refrigerants'!$C$35:$C$52, AG58:AG67)), SUMPRODUCT(SUMIFS('S1-Refrigerants'!$U$65:$U$82, 'S1-Refrigerants'!$B$65:$B$82, G18, 'S1-Refrigerants'!$C$65:$C$82, AG58:AG67)), SUMPRODUCT(SUMIFS('S1-Refrigerants'!$O$95:$O$112, 'S1-Refrigerants'!$B$95:$B$112, G18, 'S1-Refrigerants'!$C$95:$C$112, AG58:AG67)))),""))</f>
        <v>0</v>
      </c>
      <c r="H116" s="773" cm="1">
        <f t="array" ref="H116">IF($D$55="Facility", SUM(SUMIFS('S1-Refrigerants'!P35:P52, 'S1-Refrigerants'!$B$35:$B$52, H18, 'S1-Refrigerants'!$C$35:$C$52, C114), SUMIFS('S1-Refrigerants'!U65:U82, 'S1-Refrigerants'!$B$65:$B$82, H18, 'S1-Refrigerants'!$C$65:$C$82, C114), SUMIFS('S1-Refrigerants'!O95:O112, 'S1-Refrigerants'!$B$95:$B$112, H18, 'S1-Refrigerants'!$C$95:$C$112, C114)), _xlfn.IFNA(IF($D$55="Country", SUM(SUMPRODUCT(SUMIFS('S1-Refrigerants'!$P$35:$P$52, 'S1-Refrigerants'!$B$35:$B$52, H18, 'S1-Refrigerants'!$C$35:$C$52, AG58:AG67)), SUMPRODUCT(SUMIFS('S1-Refrigerants'!$U$65:$U$82, 'S1-Refrigerants'!$B$65:$B$82, H18, 'S1-Refrigerants'!$C$65:$C$82, AG58:AG67)), SUMPRODUCT(SUMIFS('S1-Refrigerants'!$O$95:$O$112, 'S1-Refrigerants'!$B$95:$B$112, H18, 'S1-Refrigerants'!$C$95:$C$112, AG58:AG67)))),""))</f>
        <v>0</v>
      </c>
      <c r="I116" s="773" cm="1">
        <f t="array" ref="I116">IF($D$55="Facility", SUM(SUMIFS('S1-Refrigerants'!P35:P52, 'S1-Refrigerants'!$B$35:$B$52, I18, 'S1-Refrigerants'!$C$35:$C$52, C114), SUMIFS('S1-Refrigerants'!U65:U82, 'S1-Refrigerants'!$B$65:$B$82, I18, 'S1-Refrigerants'!$C$65:$C$82, C114), SUMIFS('S1-Refrigerants'!O95:O112, 'S1-Refrigerants'!$B$95:$B$112, I18, 'S1-Refrigerants'!$C$95:$C$112, C114)), _xlfn.IFNA(IF($D$55="Country", SUM(SUMPRODUCT(SUMIFS('S1-Refrigerants'!$P$35:$P$52, 'S1-Refrigerants'!$B$35:$B$52, I18, 'S1-Refrigerants'!$C$35:$C$52, AG58:AG67)), SUMPRODUCT(SUMIFS('S1-Refrigerants'!$U$65:$U$82, 'S1-Refrigerants'!$B$65:$B$82, I18, 'S1-Refrigerants'!$C$65:$C$82, AG58:AG67)), SUMPRODUCT(SUMIFS('S1-Refrigerants'!$O$95:$O$112, 'S1-Refrigerants'!$B$95:$B$112, I18, 'S1-Refrigerants'!$C$95:$C$112, AG58:AG67)))),""))</f>
        <v>0</v>
      </c>
      <c r="J116" s="773" cm="1">
        <f t="array" ref="J116">IF($D$55="Facility", SUM(SUMIFS('S1-Refrigerants'!P35:P52, 'S1-Refrigerants'!$B$35:$B$52, J18, 'S1-Refrigerants'!$C$35:$C$52, C114), SUMIFS('S1-Refrigerants'!U65:U82, 'S1-Refrigerants'!$B$65:$B$82, J18, 'S1-Refrigerants'!$C$65:$C$82, C114), SUMIFS('S1-Refrigerants'!O95:O112, 'S1-Refrigerants'!$B$95:$B$112, J18, 'S1-Refrigerants'!$C$95:$C$112, C114)), _xlfn.IFNA(IF($D$55="Country", SUM(SUMPRODUCT(SUMIFS('S1-Refrigerants'!$P$35:$P$52, 'S1-Refrigerants'!$B$35:$B$52, J18, 'S1-Refrigerants'!$C$35:$C$52, AG58:AG67)), SUMPRODUCT(SUMIFS('S1-Refrigerants'!$U$65:$U$82, 'S1-Refrigerants'!$B$65:$B$82, J18, 'S1-Refrigerants'!$C$65:$C$82, AG58:AG67)), SUMPRODUCT(SUMIFS('S1-Refrigerants'!$O$95:$O$112, 'S1-Refrigerants'!$B$95:$B$112, J18, 'S1-Refrigerants'!$C$95:$C$112, AG58:AG67)))),""))</f>
        <v>0</v>
      </c>
      <c r="K116" s="778" cm="1">
        <f t="array" ref="K116">IF($D$55="Facility", SUM(SUMIFS('S1-Refrigerants'!P35:P52, 'S1-Refrigerants'!$B$35:$B$52, K18, 'S1-Refrigerants'!$C$35:$C$52, C114), SUMIFS('S1-Refrigerants'!U65:U82, 'S1-Refrigerants'!$B$65:$B$82, K18, 'S1-Refrigerants'!$C$65:$C$82, C114), SUMIFS('S1-Refrigerants'!O95:O112, 'S1-Refrigerants'!$B$95:$B$112, K18, 'S1-Refrigerants'!$C$95:$C$112, C114)), _xlfn.IFNA(IF($D$55="Country", SUM(SUMPRODUCT(SUMIFS('S1-Refrigerants'!$P$35:$P$52, 'S1-Refrigerants'!$B$35:$B$52, K18, 'S1-Refrigerants'!$C$35:$C$52, AG58:AG67)), SUMPRODUCT(SUMIFS('S1-Refrigerants'!$U$65:$U$82, 'S1-Refrigerants'!$B$65:$B$82, K18, 'S1-Refrigerants'!$C$65:$C$82, AG58:AG67)), SUMPRODUCT(SUMIFS('S1-Refrigerants'!$O$95:$O$112, 'S1-Refrigerants'!$B$95:$B$112, K18, 'S1-Refrigerants'!$C$95:$C$112, AG58:AG67)))),""))</f>
        <v>0</v>
      </c>
      <c r="V116" s="311"/>
    </row>
    <row r="117" spans="1:22" ht="18.75">
      <c r="A117" s="311"/>
      <c r="C117" s="1000"/>
      <c r="D117" s="700" t="s">
        <v>100</v>
      </c>
      <c r="E117" s="776" t="s">
        <v>1438</v>
      </c>
      <c r="F117" s="774" cm="1">
        <f t="array" ref="F117">IF($D$55="Facility", SUMIFS(Purchased_Electricity[CO2e (tonnes)], Purchased_Electricity[Year], F18, Purchased_Electricity[Calculation Approach], Dropdowns!$S$2, Purchased_Electricity[Facility ID], C114), _xlfn.IFNA(IF($D$55="Country",SUMPRODUCT(SUMIFS(Purchased_Electricity[CO2e (tonnes)], Purchased_Electricity[Year], F18, Purchased_Electricity[Calculation Approach], Dropdowns!$S$2, Purchased_Electricity[Facility ID], AG58:AG67)),""), ""))</f>
        <v>0</v>
      </c>
      <c r="G117" s="774" cm="1">
        <f t="array" ref="G117">IF($D$55="Facility", SUMIFS(Purchased_Electricity[CO2e (tonnes)], Purchased_Electricity[Year], G18, Purchased_Electricity[Calculation Approach], Dropdowns!$S$2, Purchased_Electricity[Facility ID], C114), _xlfn.IFNA(IF($D$55="Country",SUMPRODUCT(SUMIFS(Purchased_Electricity[CO2e (tonnes)], Purchased_Electricity[Year], G18, Purchased_Electricity[Calculation Approach], Dropdowns!$S$2, Purchased_Electricity[Facility ID], AG58:AG67)),""), ""))</f>
        <v>0</v>
      </c>
      <c r="H117" s="774" cm="1">
        <f t="array" ref="H117">IF($D$55="Facility", SUMIFS(Purchased_Electricity[CO2e (tonnes)], Purchased_Electricity[Year], H18, Purchased_Electricity[Calculation Approach], Dropdowns!$S$2, Purchased_Electricity[Facility ID], C114), _xlfn.IFNA(IF($D$55="Country",SUMPRODUCT(SUMIFS(Purchased_Electricity[CO2e (tonnes)], Purchased_Electricity[Year], H18, Purchased_Electricity[Calculation Approach], Dropdowns!$S$2, Purchased_Electricity[Facility ID], AG58:AG67)),""), ""))</f>
        <v>0</v>
      </c>
      <c r="I117" s="774" cm="1">
        <f t="array" ref="I117">IF($D$55="Facility", SUMIFS(Purchased_Electricity[CO2e (tonnes)], Purchased_Electricity[Year], I18, Purchased_Electricity[Calculation Approach], Dropdowns!$S$2, Purchased_Electricity[Facility ID], C114), _xlfn.IFNA(IF($D$55="Country",SUMPRODUCT(SUMIFS(Purchased_Electricity[CO2e (tonnes)], Purchased_Electricity[Year], I18, Purchased_Electricity[Calculation Approach], Dropdowns!$S$2, Purchased_Electricity[Facility ID], AG58:AG67)),""), ""))</f>
        <v>0</v>
      </c>
      <c r="J117" s="774" cm="1">
        <f t="array" ref="J117">IF($D$55="Facility", SUMIFS(Purchased_Electricity[CO2e (tonnes)], Purchased_Electricity[Year], J18, Purchased_Electricity[Calculation Approach], Dropdowns!$S$2, Purchased_Electricity[Facility ID], C114), _xlfn.IFNA(IF($D$55="Country",SUMPRODUCT(SUMIFS(Purchased_Electricity[CO2e (tonnes)], Purchased_Electricity[Year], J18, Purchased_Electricity[Calculation Approach], Dropdowns!$S$2, Purchased_Electricity[Facility ID], AG58:AG67)),""), ""))</f>
        <v>0</v>
      </c>
      <c r="K117" s="779" cm="1">
        <f t="array" ref="K117">IF($D$55="Facility", SUMIFS(Purchased_Electricity[CO2e (tonnes)], Purchased_Electricity[Year], K18, Purchased_Electricity[Calculation Approach], Dropdowns!$S$2, Purchased_Electricity[Facility ID], C114), _xlfn.IFNA(IF($D$55="Country",SUMPRODUCT(SUMIFS(Purchased_Electricity[CO2e (tonnes)], Purchased_Electricity[Year], K18, Purchased_Electricity[Calculation Approach], Dropdowns!$S$2, Purchased_Electricity[Facility ID], AG58:AG67)),""), ""))</f>
        <v>0</v>
      </c>
      <c r="V117" s="311"/>
    </row>
    <row r="118" spans="1:22" ht="18.75">
      <c r="A118" s="311"/>
      <c r="C118" s="1000"/>
      <c r="D118" s="699"/>
      <c r="E118" s="776" t="s">
        <v>1439</v>
      </c>
      <c r="F118" s="772" cm="1">
        <f t="array" ref="F118">IF($D$55="Facility", SUMIFS(Purchased_Electricity[CO2e (tonnes)], Purchased_Electricity[Year], F18, Purchased_Electricity[Calculation Approach], Dropdowns!$S$3, Purchased_Electricity[Facility ID], C114), _xlfn.IFNA(IF($D$55="Country",SUMPRODUCT(SUMIFS(Purchased_Electricity[CO2e (tonnes)], Purchased_Electricity[Year], F18, Purchased_Electricity[Calculation Approach], Dropdowns!$S$3, Purchased_Electricity[Facility ID], AG58:AG67)),""), ""))</f>
        <v>0</v>
      </c>
      <c r="G118" s="772" cm="1">
        <f t="array" ref="G118">IF($D$55="Facility", SUMIFS(Purchased_Electricity[CO2e (tonnes)], Purchased_Electricity[Year], G18, Purchased_Electricity[Calculation Approach], Dropdowns!$S$3, Purchased_Electricity[Facility ID], C114), _xlfn.IFNA(IF($D$55="Country",SUMPRODUCT(SUMIFS(Purchased_Electricity[CO2e (tonnes)], Purchased_Electricity[Year], G18, Purchased_Electricity[Calculation Approach], Dropdowns!$S$3, Purchased_Electricity[Facility ID], AG58:AG67)),""), ""))</f>
        <v>0</v>
      </c>
      <c r="H118" s="772" cm="1">
        <f t="array" ref="H118">IF($D$55="Facility", SUMIFS(Purchased_Electricity[CO2e (tonnes)], Purchased_Electricity[Year], H18, Purchased_Electricity[Calculation Approach], Dropdowns!$S$3, Purchased_Electricity[Facility ID], C114), _xlfn.IFNA(IF($D$55="Country",SUMPRODUCT(SUMIFS(Purchased_Electricity[CO2e (tonnes)], Purchased_Electricity[Year], H18, Purchased_Electricity[Calculation Approach], Dropdowns!$S$3, Purchased_Electricity[Facility ID], AG58:AG67)),""), ""))</f>
        <v>0</v>
      </c>
      <c r="I118" s="772" cm="1">
        <f t="array" ref="I118">IF($D$55="Facility", SUMIFS(Purchased_Electricity[CO2e (tonnes)], Purchased_Electricity[Year], I18, Purchased_Electricity[Calculation Approach], Dropdowns!$S$3, Purchased_Electricity[Facility ID], C114), _xlfn.IFNA(IF($D$55="Country",SUMPRODUCT(SUMIFS(Purchased_Electricity[CO2e (tonnes)], Purchased_Electricity[Year], I18, Purchased_Electricity[Calculation Approach], Dropdowns!$S$3, Purchased_Electricity[Facility ID], AG58:AG67)),""), ""))</f>
        <v>0</v>
      </c>
      <c r="J118" s="772" cm="1">
        <f t="array" ref="J118">IF($D$55="Facility", SUMIFS(Purchased_Electricity[CO2e (tonnes)], Purchased_Electricity[Year], J18, Purchased_Electricity[Calculation Approach], Dropdowns!$S$3, Purchased_Electricity[Facility ID], C114), _xlfn.IFNA(IF($D$55="Country",SUMPRODUCT(SUMIFS(Purchased_Electricity[CO2e (tonnes)], Purchased_Electricity[Year], J18, Purchased_Electricity[Calculation Approach], Dropdowns!$S$3, Purchased_Electricity[Facility ID], AG58:AG67)),""), ""))</f>
        <v>0</v>
      </c>
      <c r="K118" s="777" cm="1">
        <f t="array" ref="K118">IF($D$55="Facility", SUMIFS(Purchased_Electricity[CO2e (tonnes)], Purchased_Electricity[Year], K18, Purchased_Electricity[Calculation Approach], Dropdowns!$S$3, Purchased_Electricity[Facility ID], C114), _xlfn.IFNA(IF($D$55="Country",SUMPRODUCT(SUMIFS(Purchased_Electricity[CO2e (tonnes)], Purchased_Electricity[Year], K18, Purchased_Electricity[Calculation Approach], Dropdowns!$S$3, Purchased_Electricity[Facility ID], AG58:AG67)),""), ""))</f>
        <v>0</v>
      </c>
      <c r="V118" s="311"/>
    </row>
    <row r="119" spans="1:22" ht="18.75">
      <c r="A119" s="311"/>
      <c r="C119" s="1000"/>
      <c r="D119" s="701"/>
      <c r="E119" s="423" t="s">
        <v>1440</v>
      </c>
      <c r="F119" s="773" cm="1">
        <f t="array" ref="F119">IF($D$55="Facility", SUMIFS(Purchased_Electricity[CO2e (tonnes)], Purchased_Electricity[Year], F18, Purchased_Electricity[Calculation Approach], Dropdowns!$S$4, Purchased_Electricity[Facility ID], C114), _xlfn.IFNA(IF($D$55="Country",SUMPRODUCT(SUMIFS(Purchased_Electricity[CO2e (tonnes)], Purchased_Electricity[Year], F18, Purchased_Electricity[Calculation Approach], Dropdowns!$S$4, Purchased_Electricity[Facility ID], AG58:AG67)),""), ""))</f>
        <v>0</v>
      </c>
      <c r="G119" s="773" cm="1">
        <f t="array" ref="G119">IF($D$55="Facility", SUMIFS(Purchased_Electricity[CO2e (tonnes)], Purchased_Electricity[Year], G18, Purchased_Electricity[Calculation Approach], Dropdowns!$S$4, Purchased_Electricity[Facility ID], C114), _xlfn.IFNA(IF($D$55="Country",SUMPRODUCT(SUMIFS(Purchased_Electricity[CO2e (tonnes)], Purchased_Electricity[Year], G18, Purchased_Electricity[Calculation Approach], Dropdowns!$S$4, Purchased_Electricity[Facility ID], AG58:AG67)),""), ""))</f>
        <v>0</v>
      </c>
      <c r="H119" s="773" cm="1">
        <f t="array" ref="H119">IF($D$55="Facility", SUMIFS(Purchased_Electricity[CO2e (tonnes)], Purchased_Electricity[Year], H18, Purchased_Electricity[Calculation Approach], Dropdowns!$S$4, Purchased_Electricity[Facility ID], C114), _xlfn.IFNA(IF($D$55="Country",SUMPRODUCT(SUMIFS(Purchased_Electricity[CO2e (tonnes)], Purchased_Electricity[Year], H18, Purchased_Electricity[Calculation Approach], Dropdowns!$S$4, Purchased_Electricity[Facility ID], AG58:AG67)),""), ""))</f>
        <v>0</v>
      </c>
      <c r="I119" s="773" cm="1">
        <f t="array" ref="I119">IF($D$55="Facility", SUMIFS(Purchased_Electricity[CO2e (tonnes)], Purchased_Electricity[Year], I18, Purchased_Electricity[Calculation Approach], Dropdowns!$S$4, Purchased_Electricity[Facility ID], C114), _xlfn.IFNA(IF($D$55="Country",SUMPRODUCT(SUMIFS(Purchased_Electricity[CO2e (tonnes)], Purchased_Electricity[Year], I18, Purchased_Electricity[Calculation Approach], Dropdowns!$S$4, Purchased_Electricity[Facility ID], AG58:AG67)),""), ""))</f>
        <v>0</v>
      </c>
      <c r="J119" s="773" cm="1">
        <f t="array" ref="J119">IF($D$55="Facility", SUMIFS(Purchased_Electricity[CO2e (tonnes)], Purchased_Electricity[Year], J18, Purchased_Electricity[Calculation Approach], Dropdowns!$S$4, Purchased_Electricity[Facility ID], C114), _xlfn.IFNA(IF($D$55="Country",SUMPRODUCT(SUMIFS(Purchased_Electricity[CO2e (tonnes)], Purchased_Electricity[Year], J18, Purchased_Electricity[Calculation Approach], Dropdowns!$S$4, Purchased_Electricity[Facility ID], AG58:AG67)),""), ""))</f>
        <v>0</v>
      </c>
      <c r="K119" s="778" cm="1">
        <f t="array" ref="K119">IF($D$55="Facility", SUMIFS(Purchased_Electricity[CO2e (tonnes)], Purchased_Electricity[Year], K18, Purchased_Electricity[Calculation Approach], Dropdowns!$S$4, Purchased_Electricity[Facility ID], C114), _xlfn.IFNA(IF($D$55="Country",SUMPRODUCT(SUMIFS(Purchased_Electricity[CO2e (tonnes)], Purchased_Electricity[Year], K18, Purchased_Electricity[Calculation Approach], Dropdowns!$S$4, Purchased_Electricity[Facility ID], AG58:AG67)),""), ""))</f>
        <v>0</v>
      </c>
      <c r="V119" s="311"/>
    </row>
    <row r="120" spans="1:22" ht="19.5" thickBot="1">
      <c r="A120" s="311"/>
      <c r="C120" s="1001"/>
      <c r="D120" s="702" t="s">
        <v>1430</v>
      </c>
      <c r="E120" s="703"/>
      <c r="F120" s="783" cm="1">
        <f t="array" ref="F120">IF($D$55="Facility", SUM(SUMIFS(Stationary_Combustion[Biofuel CO2
(tonnes)], Stationary_Combustion[Year], F18, Stationary_Combustion[Facility ID], C114), SUMIFS(Table13[[#All],[Column15]], Table13[[#All],[Column1]], F18, Table13[[#All],[Column3]], C114)),_xlfn.IFNA(IF($D$55="Country",SUM(SUMPRODUCT(SUMIFS(Stationary_Combustion[Biofuel CO2
(tonnes)], Stationary_Combustion[Year], F18,  Stationary_Combustion[Facility ID], AG58:AG67)), SUMPRODUCT(SUMIFS(Table13[[#All],[Column15]], Table13[[#All],[Column1]], F18, Table13[[#All],[Column3]], AG58:AG67))),""), ""))</f>
        <v>0</v>
      </c>
      <c r="G120" s="783" cm="1">
        <f t="array" ref="G120">IF($D$55="Facility", SUM(SUMIFS(Stationary_Combustion[Biofuel CO2
(tonnes)], Stationary_Combustion[Year], G18, Stationary_Combustion[Facility ID], C114), SUMIFS(Table13[[#All],[Column15]], Table13[[#All],[Column1]], G18, Table13[[#All],[Column3]], C114)),_xlfn.IFNA(IF($D$55="Country",SUM(SUMPRODUCT(SUMIFS(Stationary_Combustion[Biofuel CO2
(tonnes)], Stationary_Combustion[Year], G18,  Stationary_Combustion[Facility ID], AG58:AG67)), SUMPRODUCT(SUMIFS(Table13[[#All],[Column15]], Table13[[#All],[Column1]], G18, Table13[[#All],[Column3]], AG58:AG67))),""), ""))</f>
        <v>0</v>
      </c>
      <c r="H120" s="783" cm="1">
        <f t="array" ref="H120">IF($D$55="Facility", SUM(SUMIFS(Stationary_Combustion[Biofuel CO2
(tonnes)], Stationary_Combustion[Year], H18, Stationary_Combustion[Facility ID], C114), SUMIFS(Table13[[#All],[Column15]], Table13[[#All],[Column1]], H18, Table13[[#All],[Column3]], C114)),_xlfn.IFNA(IF($D$55="Country",SUM(SUMPRODUCT(SUMIFS(Stationary_Combustion[Biofuel CO2
(tonnes)], Stationary_Combustion[Year], H18,  Stationary_Combustion[Facility ID], AG58:AG67)), SUMPRODUCT(SUMIFS(Table13[[#All],[Column15]], Table13[[#All],[Column1]], H18, Table13[[#All],[Column3]], AG58:AG67))),""), ""))</f>
        <v>0</v>
      </c>
      <c r="I120" s="783" cm="1">
        <f t="array" ref="I120">IF($D$55="Facility", SUM(SUMIFS(Stationary_Combustion[Biofuel CO2
(tonnes)], Stationary_Combustion[Year], I18, Stationary_Combustion[Facility ID], C114), SUMIFS(Table13[[#All],[Column15]], Table13[[#All],[Column1]], I18, Table13[[#All],[Column3]], C114)),_xlfn.IFNA(IF($D$55="Country",SUM(SUMPRODUCT(SUMIFS(Stationary_Combustion[Biofuel CO2
(tonnes)], Stationary_Combustion[Year], I18,  Stationary_Combustion[Facility ID], AG58:AG67)), SUMPRODUCT(SUMIFS(Table13[[#All],[Column15]], Table13[[#All],[Column1]], I18, Table13[[#All],[Column3]], AG58:AG67))),""), ""))</f>
        <v>0</v>
      </c>
      <c r="J120" s="783" cm="1">
        <f t="array" ref="J120">IF($D$55="Facility", SUM(SUMIFS(Stationary_Combustion[Biofuel CO2
(tonnes)], Stationary_Combustion[Year], J18, Stationary_Combustion[Facility ID], C114), SUMIFS(Table13[[#All],[Column15]], Table13[[#All],[Column1]], J18, Table13[[#All],[Column3]], C114)),_xlfn.IFNA(IF($D$55="Country",SUM(SUMPRODUCT(SUMIFS(Stationary_Combustion[Biofuel CO2
(tonnes)], Stationary_Combustion[Year], J18,  Stationary_Combustion[Facility ID], AG58:AG67)), SUMPRODUCT(SUMIFS(Table13[[#All],[Column15]], Table13[[#All],[Column1]], J18, Table13[[#All],[Column3]], AG58:AG67))),""), ""))</f>
        <v>0</v>
      </c>
      <c r="K120" s="780" cm="1">
        <f t="array" ref="K120">IF($D$55="Facility", SUM(SUMIFS(Stationary_Combustion[Biofuel CO2
(tonnes)], Stationary_Combustion[Year], K18, Stationary_Combustion[Facility ID], C114), SUMIFS(Table13[[#All],[Column15]], Table13[[#All],[Column1]], K18, Table13[[#All],[Column3]], C114)),_xlfn.IFNA(IF($D$55="Country",SUM(SUMPRODUCT(SUMIFS(Stationary_Combustion[Biofuel CO2
(tonnes)], Stationary_Combustion[Year], K18,  Stationary_Combustion[Facility ID], AG58:AG67)), SUMPRODUCT(SUMIFS(Table13[[#All],[Column15]], Table13[[#All],[Column1]], K18, Table13[[#All],[Column3]], AG58:AG67))),""), ""))</f>
        <v>0</v>
      </c>
      <c r="V120" s="311"/>
    </row>
    <row r="121" spans="1:22" ht="18.75">
      <c r="A121" s="311"/>
      <c r="C121" s="999">
        <f>IF($D$55="Facility",Parameters!F52,_xlfn.IFNA(IF($D$55="Country",X67,""),""))</f>
        <v>10</v>
      </c>
      <c r="D121" s="697" t="s">
        <v>95</v>
      </c>
      <c r="E121" s="698" t="s">
        <v>88</v>
      </c>
      <c r="F121" s="781" cm="1">
        <f t="array" ref="F121">IF($D$55="Facility", SUMIFS(Stationary_Combustion[CO2e (tonnes)], Stationary_Combustion[Year], F18, Stationary_Combustion[Facility ID], C121),_xlfn.IFNA(IF($D$55="Country",SUMPRODUCT(SUMIFS(Stationary_Combustion[CO2e (tonnes)], Stationary_Combustion[Year], F18, Stationary_Combustion[Facility ID], AH58:AH67)),""), ""))</f>
        <v>0</v>
      </c>
      <c r="G121" s="781" cm="1">
        <f t="array" ref="G121">IF($D$55="Facility", SUMIFS(Stationary_Combustion[CO2e (tonnes)], Stationary_Combustion[Year], G18, Stationary_Combustion[Facility ID], C121),_xlfn.IFNA(IF($D$55="Country",SUMPRODUCT(SUMIFS(Stationary_Combustion[CO2e (tonnes)], Stationary_Combustion[Year], G18, Stationary_Combustion[Facility ID], AH58:AH67)),""), ""))</f>
        <v>0</v>
      </c>
      <c r="H121" s="781" cm="1">
        <f t="array" ref="H121">IF($D$55="Facility", SUMIFS(Stationary_Combustion[CO2e (tonnes)], Stationary_Combustion[Year], H18, Stationary_Combustion[Facility ID], C121),_xlfn.IFNA(IF($D$55="Country",SUMPRODUCT(SUMIFS(Stationary_Combustion[CO2e (tonnes)], Stationary_Combustion[Year], H18, Stationary_Combustion[Facility ID], AH58:AH67)),""), ""))</f>
        <v>0</v>
      </c>
      <c r="I121" s="781" cm="1">
        <f t="array" ref="I121">IF($D$55="Facility", SUMIFS(Stationary_Combustion[CO2e (tonnes)], Stationary_Combustion[Year], I18, Stationary_Combustion[Facility ID], C121),_xlfn.IFNA(IF($D$55="Country",SUMPRODUCT(SUMIFS(Stationary_Combustion[CO2e (tonnes)], Stationary_Combustion[Year], I18, Stationary_Combustion[Facility ID], AH58:AH67)),""), ""))</f>
        <v>0</v>
      </c>
      <c r="J121" s="781" cm="1">
        <f t="array" ref="J121">IF($D$55="Facility", SUMIFS(Stationary_Combustion[CO2e (tonnes)], Stationary_Combustion[Year], J18, Stationary_Combustion[Facility ID], C121),_xlfn.IFNA(IF($D$55="Country",SUMPRODUCT(SUMIFS(Stationary_Combustion[CO2e (tonnes)], Stationary_Combustion[Year], J18, Stationary_Combustion[Facility ID], AH58:AH67)),""), ""))</f>
        <v>0</v>
      </c>
      <c r="K121" s="782" cm="1">
        <f t="array" ref="K121">IF($D$55="Facility", SUMIFS(Stationary_Combustion[CO2e (tonnes)], Stationary_Combustion[Year], K18, Stationary_Combustion[Facility ID], C121),_xlfn.IFNA(IF($D$55="Country",SUMPRODUCT(SUMIFS(Stationary_Combustion[CO2e (tonnes)], Stationary_Combustion[Year], K18, Stationary_Combustion[Facility ID], AH58:AH67)),""), ""))</f>
        <v>0</v>
      </c>
      <c r="V121" s="311"/>
    </row>
    <row r="122" spans="1:22" ht="18.75">
      <c r="A122" s="311"/>
      <c r="C122" s="1000"/>
      <c r="D122" s="699"/>
      <c r="E122" s="421" t="s">
        <v>89</v>
      </c>
      <c r="F122" s="772" cm="1">
        <f t="array" ref="F122">IF($D$55="Facility", SUMIFS(Table13[[#All],[Column14]], Table13[[#All],[Column1]], F18, Table13[[#All],[Column3]], C121),_xlfn.IFNA(IF($D$55="Country",SUMPRODUCT(SUMIFS(Table13[[#All],[Column14]], Table13[[#All],[Column1]], F18, Table13[[#All],[Column3]], AH58:AH67)),""), ""))</f>
        <v>0</v>
      </c>
      <c r="G122" s="772" cm="1">
        <f t="array" ref="G122">IF($D$55="Facility", SUMIFS(Table13[[#All],[Column14]], Table13[[#All],[Column1]], G18, Table13[[#All],[Column3]], C121),_xlfn.IFNA(IF($D$55="Country",SUMPRODUCT(SUMIFS(Table13[[#All],[Column14]], Table13[[#All],[Column1]], G18, Table13[[#All],[Column3]], AH58:AH67)),""), ""))</f>
        <v>0</v>
      </c>
      <c r="H122" s="772" cm="1">
        <f t="array" ref="H122">IF($D$55="Facility", SUMIFS(Table13[[#All],[Column14]], Table13[[#All],[Column1]], H18, Table13[[#All],[Column3]], C121),_xlfn.IFNA(IF($D$55="Country",SUMPRODUCT(SUMIFS(Table13[[#All],[Column14]], Table13[[#All],[Column1]], H18, Table13[[#All],[Column3]], AH58:AH67)),""), ""))</f>
        <v>0</v>
      </c>
      <c r="I122" s="772" cm="1">
        <f t="array" ref="I122">IF($D$55="Facility", SUMIFS(Table13[[#All],[Column14]], Table13[[#All],[Column1]], I18, Table13[[#All],[Column3]], C121),_xlfn.IFNA(IF($D$55="Country",SUMPRODUCT(SUMIFS(Table13[[#All],[Column14]], Table13[[#All],[Column1]], I18, Table13[[#All],[Column3]], AH58:AH67)),""), ""))</f>
        <v>0</v>
      </c>
      <c r="J122" s="772" cm="1">
        <f t="array" ref="J122">IF($D$55="Facility", SUMIFS(Table13[[#All],[Column14]], Table13[[#All],[Column1]], J18, Table13[[#All],[Column3]], C121),_xlfn.IFNA(IF($D$55="Country",SUMPRODUCT(SUMIFS(Table13[[#All],[Column14]], Table13[[#All],[Column1]], J18, Table13[[#All],[Column3]], AH58:AH67)),""), ""))</f>
        <v>0</v>
      </c>
      <c r="K122" s="777" cm="1">
        <f t="array" ref="K122">IF($D$55="Facility", SUMIFS(Table13[[#All],[Column14]], Table13[[#All],[Column1]], K18, Table13[[#All],[Column3]], C121),_xlfn.IFNA(IF($D$55="Country",SUMPRODUCT(SUMIFS(Table13[[#All],[Column14]], Table13[[#All],[Column1]], K18, Table13[[#All],[Column3]], AH58:AH67)),""), ""))</f>
        <v>0</v>
      </c>
      <c r="V122" s="311"/>
    </row>
    <row r="123" spans="1:22" ht="18.75">
      <c r="A123" s="311"/>
      <c r="C123" s="1000"/>
      <c r="D123" s="701"/>
      <c r="E123" s="423" t="s">
        <v>1437</v>
      </c>
      <c r="F123" s="773" cm="1">
        <f t="array" ref="F123">IF($D$55="Facility", SUM(SUMIFS('S1-Refrigerants'!P35:P52, 'S1-Refrigerants'!$B$35:$B$52, F18, 'S1-Refrigerants'!$C$35:$C$52, C121), SUMIFS('S1-Refrigerants'!U65:U82, 'S1-Refrigerants'!$B$65:$B$82, F18, 'S1-Refrigerants'!$C$65:$C$82, C121), SUMIFS('S1-Refrigerants'!O95:O112, 'S1-Refrigerants'!$B$95:$B$112, F18, 'S1-Refrigerants'!$C$95:$C$112, C121)), _xlfn.IFNA(IF($D$55="Country", SUM(SUMPRODUCT(SUMIFS('S1-Refrigerants'!$P$35:$P$52, 'S1-Refrigerants'!$B$35:$B$52, F18, 'S1-Refrigerants'!$C$35:$C$52, AH58:AH67)), SUMPRODUCT(SUMIFS('S1-Refrigerants'!$U$65:$U$82, 'S1-Refrigerants'!$B$65:$B$82, F18, 'S1-Refrigerants'!$C$65:$C$82, AH58:AH67)), SUMPRODUCT(SUMIFS('S1-Refrigerants'!$O$95:$O$112, 'S1-Refrigerants'!$B$95:$B$112, F18, 'S1-Refrigerants'!$C$95:$C$112, AH58:AH67)))),""))</f>
        <v>0</v>
      </c>
      <c r="G123" s="773" cm="1">
        <f t="array" ref="G123">IF($D$55="Facility", SUM(SUMIFS('S1-Refrigerants'!P35:P52, 'S1-Refrigerants'!$B$35:$B$52, G18, 'S1-Refrigerants'!$C$35:$C$52, C121), SUMIFS('S1-Refrigerants'!U65:U82, 'S1-Refrigerants'!$B$65:$B$82, G18, 'S1-Refrigerants'!$C$65:$C$82, C121), SUMIFS('S1-Refrigerants'!O95:O112, 'S1-Refrigerants'!$B$95:$B$112, G18, 'S1-Refrigerants'!$C$95:$C$112, C121)), _xlfn.IFNA(IF($D$55="Country", SUM(SUMPRODUCT(SUMIFS('S1-Refrigerants'!$P$35:$P$52, 'S1-Refrigerants'!$B$35:$B$52, G18, 'S1-Refrigerants'!$C$35:$C$52, AH58:AH67)), SUMPRODUCT(SUMIFS('S1-Refrigerants'!$U$65:$U$82, 'S1-Refrigerants'!$B$65:$B$82, G18, 'S1-Refrigerants'!$C$65:$C$82, AH58:AH67)), SUMPRODUCT(SUMIFS('S1-Refrigerants'!$O$95:$O$112, 'S1-Refrigerants'!$B$95:$B$112, G18, 'S1-Refrigerants'!$C$95:$C$112, AH58:AH67)))),""))</f>
        <v>0</v>
      </c>
      <c r="H123" s="773" cm="1">
        <f t="array" ref="H123">IF($D$55="Facility", SUM(SUMIFS('S1-Refrigerants'!P35:P52, 'S1-Refrigerants'!$B$35:$B$52, H18, 'S1-Refrigerants'!$C$35:$C$52, C121), SUMIFS('S1-Refrigerants'!U65:U82, 'S1-Refrigerants'!$B$65:$B$82, H18, 'S1-Refrigerants'!$C$65:$C$82, C121), SUMIFS('S1-Refrigerants'!O95:O112, 'S1-Refrigerants'!$B$95:$B$112, H18, 'S1-Refrigerants'!$C$95:$C$112, C121)), _xlfn.IFNA(IF($D$55="Country", SUM(SUMPRODUCT(SUMIFS('S1-Refrigerants'!$P$35:$P$52, 'S1-Refrigerants'!$B$35:$B$52, H18, 'S1-Refrigerants'!$C$35:$C$52, AH58:AH67)), SUMPRODUCT(SUMIFS('S1-Refrigerants'!$U$65:$U$82, 'S1-Refrigerants'!$B$65:$B$82, H18, 'S1-Refrigerants'!$C$65:$C$82, AH58:AH67)), SUMPRODUCT(SUMIFS('S1-Refrigerants'!$O$95:$O$112, 'S1-Refrigerants'!$B$95:$B$112, H18, 'S1-Refrigerants'!$C$95:$C$112, AH58:AH67)))),""))</f>
        <v>0</v>
      </c>
      <c r="I123" s="773" cm="1">
        <f t="array" ref="I123">IF($D$55="Facility", SUM(SUMIFS('S1-Refrigerants'!P35:P52, 'S1-Refrigerants'!$B$35:$B$52, I18, 'S1-Refrigerants'!$C$35:$C$52, C121), SUMIFS('S1-Refrigerants'!U65:U82, 'S1-Refrigerants'!$B$65:$B$82, I18, 'S1-Refrigerants'!$C$65:$C$82, C121), SUMIFS('S1-Refrigerants'!O95:O112, 'S1-Refrigerants'!$B$95:$B$112, I18, 'S1-Refrigerants'!$C$95:$C$112, C121)), _xlfn.IFNA(IF($D$55="Country", SUM(SUMPRODUCT(SUMIFS('S1-Refrigerants'!$P$35:$P$52, 'S1-Refrigerants'!$B$35:$B$52, I18, 'S1-Refrigerants'!$C$35:$C$52, AH58:AH67)), SUMPRODUCT(SUMIFS('S1-Refrigerants'!$U$65:$U$82, 'S1-Refrigerants'!$B$65:$B$82, I18, 'S1-Refrigerants'!$C$65:$C$82, AH58:AH67)), SUMPRODUCT(SUMIFS('S1-Refrigerants'!$O$95:$O$112, 'S1-Refrigerants'!$B$95:$B$112, I18, 'S1-Refrigerants'!$C$95:$C$112, AH58:AH67)))),""))</f>
        <v>0</v>
      </c>
      <c r="J123" s="773" cm="1">
        <f t="array" ref="J123">IF($D$55="Facility", SUM(SUMIFS('S1-Refrigerants'!P35:P52, 'S1-Refrigerants'!$B$35:$B$52, J18, 'S1-Refrigerants'!$C$35:$C$52, C121), SUMIFS('S1-Refrigerants'!U65:U82, 'S1-Refrigerants'!$B$65:$B$82, J18, 'S1-Refrigerants'!$C$65:$C$82, C121), SUMIFS('S1-Refrigerants'!O95:O112, 'S1-Refrigerants'!$B$95:$B$112, J18, 'S1-Refrigerants'!$C$95:$C$112, C121)), _xlfn.IFNA(IF($D$55="Country", SUM(SUMPRODUCT(SUMIFS('S1-Refrigerants'!$P$35:$P$52, 'S1-Refrigerants'!$B$35:$B$52, J18, 'S1-Refrigerants'!$C$35:$C$52, AH58:AH67)), SUMPRODUCT(SUMIFS('S1-Refrigerants'!$U$65:$U$82, 'S1-Refrigerants'!$B$65:$B$82, J18, 'S1-Refrigerants'!$C$65:$C$82, AH58:AH67)), SUMPRODUCT(SUMIFS('S1-Refrigerants'!$O$95:$O$112, 'S1-Refrigerants'!$B$95:$B$112, J18, 'S1-Refrigerants'!$C$95:$C$112, AH58:AH67)))),""))</f>
        <v>0</v>
      </c>
      <c r="K123" s="778" cm="1">
        <f t="array" ref="K123">IF($D$55="Facility", SUM(SUMIFS('S1-Refrigerants'!P35:P52, 'S1-Refrigerants'!$B$35:$B$52, K18, 'S1-Refrigerants'!$C$35:$C$52, C121), SUMIFS('S1-Refrigerants'!U65:U82, 'S1-Refrigerants'!$B$65:$B$82, K18, 'S1-Refrigerants'!$C$65:$C$82, C121), SUMIFS('S1-Refrigerants'!O95:O112, 'S1-Refrigerants'!$B$95:$B$112, K18, 'S1-Refrigerants'!$C$95:$C$112, C121)), _xlfn.IFNA(IF($D$55="Country", SUM(SUMPRODUCT(SUMIFS('S1-Refrigerants'!$P$35:$P$52, 'S1-Refrigerants'!$B$35:$B$52, K18, 'S1-Refrigerants'!$C$35:$C$52, AH58:AH67)), SUMPRODUCT(SUMIFS('S1-Refrigerants'!$U$65:$U$82, 'S1-Refrigerants'!$B$65:$B$82, K18, 'S1-Refrigerants'!$C$65:$C$82, AH58:AH67)), SUMPRODUCT(SUMIFS('S1-Refrigerants'!$O$95:$O$112, 'S1-Refrigerants'!$B$95:$B$112, K18, 'S1-Refrigerants'!$C$95:$C$112, AH58:AH67)))),""))</f>
        <v>0</v>
      </c>
      <c r="V123" s="311"/>
    </row>
    <row r="124" spans="1:22" ht="18.75">
      <c r="A124" s="311"/>
      <c r="C124" s="1000"/>
      <c r="D124" s="700" t="s">
        <v>100</v>
      </c>
      <c r="E124" s="776" t="s">
        <v>1438</v>
      </c>
      <c r="F124" s="774" cm="1">
        <f t="array" ref="F124">IF($D$55="Facility", SUMIFS(Purchased_Electricity[CO2e (tonnes)], Purchased_Electricity[Year], F18, Purchased_Electricity[Calculation Approach], Dropdowns!$S$2, Purchased_Electricity[Facility ID], C121), _xlfn.IFNA(IF($D$55="Country",SUMPRODUCT(SUMIFS(Purchased_Electricity[CO2e (tonnes)], Purchased_Electricity[Year], F18, Purchased_Electricity[Calculation Approach], Dropdowns!$S$2, Purchased_Electricity[Facility ID], AH58:AH67)),""), ""))</f>
        <v>0</v>
      </c>
      <c r="G124" s="774" cm="1">
        <f t="array" ref="G124">IF($D$55="Facility", SUMIFS(Purchased_Electricity[CO2e (tonnes)], Purchased_Electricity[Year], G18, Purchased_Electricity[Calculation Approach], Dropdowns!$S$2, Purchased_Electricity[Facility ID], C121), _xlfn.IFNA(IF($D$55="Country",SUMPRODUCT(SUMIFS(Purchased_Electricity[CO2e (tonnes)], Purchased_Electricity[Year], G18, Purchased_Electricity[Calculation Approach], Dropdowns!$S$2, Purchased_Electricity[Facility ID], AH58:AH67)),""), ""))</f>
        <v>0</v>
      </c>
      <c r="H124" s="774" cm="1">
        <f t="array" ref="H124">IF($D$55="Facility", SUMIFS(Purchased_Electricity[CO2e (tonnes)], Purchased_Electricity[Year], H18, Purchased_Electricity[Calculation Approach], Dropdowns!$S$2, Purchased_Electricity[Facility ID], C121), _xlfn.IFNA(IF($D$55="Country",SUMPRODUCT(SUMIFS(Purchased_Electricity[CO2e (tonnes)], Purchased_Electricity[Year], H18, Purchased_Electricity[Calculation Approach], Dropdowns!$S$2, Purchased_Electricity[Facility ID], AH58:AH67)),""), ""))</f>
        <v>0</v>
      </c>
      <c r="I124" s="774" cm="1">
        <f t="array" ref="I124">IF($D$55="Facility", SUMIFS(Purchased_Electricity[CO2e (tonnes)], Purchased_Electricity[Year], I18, Purchased_Electricity[Calculation Approach], Dropdowns!$S$2, Purchased_Electricity[Facility ID], C121), _xlfn.IFNA(IF($D$55="Country",SUMPRODUCT(SUMIFS(Purchased_Electricity[CO2e (tonnes)], Purchased_Electricity[Year], I18, Purchased_Electricity[Calculation Approach], Dropdowns!$S$2, Purchased_Electricity[Facility ID], AH58:AH67)),""), ""))</f>
        <v>0</v>
      </c>
      <c r="J124" s="774" cm="1">
        <f t="array" ref="J124">IF($D$55="Facility", SUMIFS(Purchased_Electricity[CO2e (tonnes)], Purchased_Electricity[Year], J18, Purchased_Electricity[Calculation Approach], Dropdowns!$S$2, Purchased_Electricity[Facility ID], C121), _xlfn.IFNA(IF($D$55="Country",SUMPRODUCT(SUMIFS(Purchased_Electricity[CO2e (tonnes)], Purchased_Electricity[Year], J18, Purchased_Electricity[Calculation Approach], Dropdowns!$S$2, Purchased_Electricity[Facility ID], AH58:AH67)),""), ""))</f>
        <v>0</v>
      </c>
      <c r="K124" s="779" cm="1">
        <f t="array" ref="K124">IF($D$55="Facility", SUMIFS(Purchased_Electricity[CO2e (tonnes)], Purchased_Electricity[Year], K18, Purchased_Electricity[Calculation Approach], Dropdowns!$S$2, Purchased_Electricity[Facility ID], C121), _xlfn.IFNA(IF($D$55="Country",SUMPRODUCT(SUMIFS(Purchased_Electricity[CO2e (tonnes)], Purchased_Electricity[Year], K18, Purchased_Electricity[Calculation Approach], Dropdowns!$S$2, Purchased_Electricity[Facility ID], AH58:AH67)),""), ""))</f>
        <v>0</v>
      </c>
      <c r="V124" s="311"/>
    </row>
    <row r="125" spans="1:22" ht="18.75">
      <c r="A125" s="311"/>
      <c r="C125" s="1000"/>
      <c r="D125" s="699"/>
      <c r="E125" s="776" t="s">
        <v>1439</v>
      </c>
      <c r="F125" s="772" cm="1">
        <f t="array" ref="F125">IF($D$55="Facility", SUMIFS(Purchased_Electricity[CO2e (tonnes)], Purchased_Electricity[Year], F18, Purchased_Electricity[Calculation Approach], Dropdowns!$S$3, Purchased_Electricity[Facility ID], C121), _xlfn.IFNA(IF($D$55="Country",SUMPRODUCT(SUMIFS(Purchased_Electricity[CO2e (tonnes)], Purchased_Electricity[Year], F18, Purchased_Electricity[Calculation Approach], Dropdowns!$S$3, Purchased_Electricity[Facility ID], AH58:AH67)),""), ""))</f>
        <v>0</v>
      </c>
      <c r="G125" s="772" cm="1">
        <f t="array" ref="G125">IF($D$55="Facility", SUMIFS(Purchased_Electricity[CO2e (tonnes)], Purchased_Electricity[Year], G18, Purchased_Electricity[Calculation Approach], Dropdowns!$S$3, Purchased_Electricity[Facility ID], C121), _xlfn.IFNA(IF($D$55="Country",SUMPRODUCT(SUMIFS(Purchased_Electricity[CO2e (tonnes)], Purchased_Electricity[Year], G18, Purchased_Electricity[Calculation Approach], Dropdowns!$S$3, Purchased_Electricity[Facility ID], AH58:AH67)),""), ""))</f>
        <v>0</v>
      </c>
      <c r="H125" s="772" cm="1">
        <f t="array" ref="H125">IF($D$55="Facility", SUMIFS(Purchased_Electricity[CO2e (tonnes)], Purchased_Electricity[Year], H18, Purchased_Electricity[Calculation Approach], Dropdowns!$S$3, Purchased_Electricity[Facility ID], C121), _xlfn.IFNA(IF($D$55="Country",SUMPRODUCT(SUMIFS(Purchased_Electricity[CO2e (tonnes)], Purchased_Electricity[Year], H18, Purchased_Electricity[Calculation Approach], Dropdowns!$S$3, Purchased_Electricity[Facility ID], AH58:AH67)),""), ""))</f>
        <v>0</v>
      </c>
      <c r="I125" s="772" cm="1">
        <f t="array" ref="I125">IF($D$55="Facility", SUMIFS(Purchased_Electricity[CO2e (tonnes)], Purchased_Electricity[Year], I18, Purchased_Electricity[Calculation Approach], Dropdowns!$S$3, Purchased_Electricity[Facility ID], C121), _xlfn.IFNA(IF($D$55="Country",SUMPRODUCT(SUMIFS(Purchased_Electricity[CO2e (tonnes)], Purchased_Electricity[Year], I18, Purchased_Electricity[Calculation Approach], Dropdowns!$S$3, Purchased_Electricity[Facility ID], AH58:AH67)),""), ""))</f>
        <v>0</v>
      </c>
      <c r="J125" s="772" cm="1">
        <f t="array" ref="J125">IF($D$55="Facility", SUMIFS(Purchased_Electricity[CO2e (tonnes)], Purchased_Electricity[Year], J18, Purchased_Electricity[Calculation Approach], Dropdowns!$S$3, Purchased_Electricity[Facility ID], C121), _xlfn.IFNA(IF($D$55="Country",SUMPRODUCT(SUMIFS(Purchased_Electricity[CO2e (tonnes)], Purchased_Electricity[Year], J18, Purchased_Electricity[Calculation Approach], Dropdowns!$S$3, Purchased_Electricity[Facility ID], AH58:AH67)),""), ""))</f>
        <v>0</v>
      </c>
      <c r="K125" s="777" cm="1">
        <f t="array" ref="K125">IF($D$55="Facility", SUMIFS(Purchased_Electricity[CO2e (tonnes)], Purchased_Electricity[Year], K18, Purchased_Electricity[Calculation Approach], Dropdowns!$S$3, Purchased_Electricity[Facility ID], C121), _xlfn.IFNA(IF($D$55="Country",SUMPRODUCT(SUMIFS(Purchased_Electricity[CO2e (tonnes)], Purchased_Electricity[Year], K18, Purchased_Electricity[Calculation Approach], Dropdowns!$S$3, Purchased_Electricity[Facility ID], AH58:AH67)),""), ""))</f>
        <v>0</v>
      </c>
      <c r="V125" s="311"/>
    </row>
    <row r="126" spans="1:22" ht="18.75">
      <c r="A126" s="311"/>
      <c r="C126" s="1000"/>
      <c r="D126" s="701"/>
      <c r="E126" s="423" t="s">
        <v>1440</v>
      </c>
      <c r="F126" s="773" cm="1">
        <f t="array" ref="F126">IF($D$55="Facility", SUMIFS(Purchased_Electricity[CO2e (tonnes)], Purchased_Electricity[Year], F18, Purchased_Electricity[Calculation Approach], Dropdowns!$S$4, Purchased_Electricity[Facility ID], C121), _xlfn.IFNA(IF($D$55="Country",SUMPRODUCT(SUMIFS(Purchased_Electricity[CO2e (tonnes)], Purchased_Electricity[Year], F18, Purchased_Electricity[Calculation Approach], Dropdowns!$S$4, Purchased_Electricity[Facility ID], AH58:AH67)),""), ""))</f>
        <v>0</v>
      </c>
      <c r="G126" s="773" cm="1">
        <f t="array" ref="G126">IF($D$55="Facility", SUMIFS(Purchased_Electricity[CO2e (tonnes)], Purchased_Electricity[Year], G18, Purchased_Electricity[Calculation Approach], Dropdowns!$S$4, Purchased_Electricity[Facility ID], C121), _xlfn.IFNA(IF($D$55="Country",SUMPRODUCT(SUMIFS(Purchased_Electricity[CO2e (tonnes)], Purchased_Electricity[Year], G18, Purchased_Electricity[Calculation Approach], Dropdowns!$S$4, Purchased_Electricity[Facility ID], AH58:AH67)),""), ""))</f>
        <v>0</v>
      </c>
      <c r="H126" s="773" cm="1">
        <f t="array" ref="H126">IF($D$55="Facility", SUMIFS(Purchased_Electricity[CO2e (tonnes)], Purchased_Electricity[Year], H18, Purchased_Electricity[Calculation Approach], Dropdowns!$S$4, Purchased_Electricity[Facility ID], C121), _xlfn.IFNA(IF($D$55="Country",SUMPRODUCT(SUMIFS(Purchased_Electricity[CO2e (tonnes)], Purchased_Electricity[Year], H18, Purchased_Electricity[Calculation Approach], Dropdowns!$S$4, Purchased_Electricity[Facility ID], AH58:AH67)),""), ""))</f>
        <v>0</v>
      </c>
      <c r="I126" s="773" cm="1">
        <f t="array" ref="I126">IF($D$55="Facility", SUMIFS(Purchased_Electricity[CO2e (tonnes)], Purchased_Electricity[Year], I18, Purchased_Electricity[Calculation Approach], Dropdowns!$S$4, Purchased_Electricity[Facility ID], C121), _xlfn.IFNA(IF($D$55="Country",SUMPRODUCT(SUMIFS(Purchased_Electricity[CO2e (tonnes)], Purchased_Electricity[Year], I18, Purchased_Electricity[Calculation Approach], Dropdowns!$S$4, Purchased_Electricity[Facility ID], AH58:AH67)),""), ""))</f>
        <v>0</v>
      </c>
      <c r="J126" s="773" cm="1">
        <f t="array" ref="J126">IF($D$55="Facility", SUMIFS(Purchased_Electricity[CO2e (tonnes)], Purchased_Electricity[Year], J18, Purchased_Electricity[Calculation Approach], Dropdowns!$S$4, Purchased_Electricity[Facility ID], C121), _xlfn.IFNA(IF($D$55="Country",SUMPRODUCT(SUMIFS(Purchased_Electricity[CO2e (tonnes)], Purchased_Electricity[Year], J18, Purchased_Electricity[Calculation Approach], Dropdowns!$S$4, Purchased_Electricity[Facility ID], AH58:AH67)),""), ""))</f>
        <v>0</v>
      </c>
      <c r="K126" s="778" cm="1">
        <f t="array" ref="K126">IF($D$55="Facility", SUMIFS(Purchased_Electricity[CO2e (tonnes)], Purchased_Electricity[Year], K18, Purchased_Electricity[Calculation Approach], Dropdowns!$S$4, Purchased_Electricity[Facility ID], C121), _xlfn.IFNA(IF($D$55="Country",SUMPRODUCT(SUMIFS(Purchased_Electricity[CO2e (tonnes)], Purchased_Electricity[Year], K18, Purchased_Electricity[Calculation Approach], Dropdowns!$S$4, Purchased_Electricity[Facility ID], AH58:AH67)),""), ""))</f>
        <v>0</v>
      </c>
      <c r="V126" s="311"/>
    </row>
    <row r="127" spans="1:22" ht="19.5" thickBot="1">
      <c r="A127" s="311"/>
      <c r="C127" s="1001"/>
      <c r="D127" s="702" t="s">
        <v>1430</v>
      </c>
      <c r="E127" s="703"/>
      <c r="F127" s="783" cm="1">
        <f t="array" ref="F127">IF($D$55="Facility", SUM(SUMIFS(Stationary_Combustion[Biofuel CO2
(tonnes)], Stationary_Combustion[Year], F18, Stationary_Combustion[Facility ID], C121), SUMIFS(Table13[[#All],[Column15]], Table13[[#All],[Column1]], F18, Table13[[#All],[Column3]], C121)),_xlfn.IFNA(IF($D$55="Country",SUM(SUMPRODUCT(SUMIFS(Stationary_Combustion[Biofuel CO2
(tonnes)], Stationary_Combustion[Year], F18,  Stationary_Combustion[Facility ID], AH58:AH67)), SUMPRODUCT(SUMIFS(Table13[[#All],[Column15]], Table13[[#All],[Column1]], F18, Table13[[#All],[Column3]], AH58:AH67))),""), ""))</f>
        <v>0</v>
      </c>
      <c r="G127" s="783" cm="1">
        <f t="array" ref="G127">IF($D$55="Facility", SUM(SUMIFS(Stationary_Combustion[Biofuel CO2
(tonnes)], Stationary_Combustion[Year], G18, Stationary_Combustion[Facility ID], C121), SUMIFS(Table13[[#All],[Column15]], Table13[[#All],[Column1]], G18, Table13[[#All],[Column3]], C121)),_xlfn.IFNA(IF($D$55="Country",SUM(SUMPRODUCT(SUMIFS(Stationary_Combustion[Biofuel CO2
(tonnes)], Stationary_Combustion[Year], G18,  Stationary_Combustion[Facility ID], AH58:AH67)), SUMPRODUCT(SUMIFS(Table13[[#All],[Column15]], Table13[[#All],[Column1]], G18, Table13[[#All],[Column3]], AH58:AH67))),""), ""))</f>
        <v>0</v>
      </c>
      <c r="H127" s="783" cm="1">
        <f t="array" ref="H127">IF($D$55="Facility", SUM(SUMIFS(Stationary_Combustion[Biofuel CO2
(tonnes)], Stationary_Combustion[Year], H18, Stationary_Combustion[Facility ID], C121), SUMIFS(Table13[[#All],[Column15]], Table13[[#All],[Column1]], H18, Table13[[#All],[Column3]], C121)),_xlfn.IFNA(IF($D$55="Country",SUM(SUMPRODUCT(SUMIFS(Stationary_Combustion[Biofuel CO2
(tonnes)], Stationary_Combustion[Year], H18,  Stationary_Combustion[Facility ID], AH58:AH67)), SUMPRODUCT(SUMIFS(Table13[[#All],[Column15]], Table13[[#All],[Column1]], H18, Table13[[#All],[Column3]], AH58:AH67))),""), ""))</f>
        <v>0</v>
      </c>
      <c r="I127" s="783" cm="1">
        <f t="array" ref="I127">IF($D$55="Facility", SUM(SUMIFS(Stationary_Combustion[Biofuel CO2
(tonnes)], Stationary_Combustion[Year], I18, Stationary_Combustion[Facility ID], C121), SUMIFS(Table13[[#All],[Column15]], Table13[[#All],[Column1]], I18, Table13[[#All],[Column3]], C121)),_xlfn.IFNA(IF($D$55="Country",SUM(SUMPRODUCT(SUMIFS(Stationary_Combustion[Biofuel CO2
(tonnes)], Stationary_Combustion[Year], I18,  Stationary_Combustion[Facility ID], AH58:AH67)), SUMPRODUCT(SUMIFS(Table13[[#All],[Column15]], Table13[[#All],[Column1]], I18, Table13[[#All],[Column3]], AH58:AH67))),""), ""))</f>
        <v>0</v>
      </c>
      <c r="J127" s="783" cm="1">
        <f t="array" ref="J127">IF($D$55="Facility", SUM(SUMIFS(Stationary_Combustion[Biofuel CO2
(tonnes)], Stationary_Combustion[Year], J18, Stationary_Combustion[Facility ID], C121), SUMIFS(Table13[[#All],[Column15]], Table13[[#All],[Column1]], J18, Table13[[#All],[Column3]], C121)),_xlfn.IFNA(IF($D$55="Country",SUM(SUMPRODUCT(SUMIFS(Stationary_Combustion[Biofuel CO2
(tonnes)], Stationary_Combustion[Year], J18,  Stationary_Combustion[Facility ID], AH58:AH67)), SUMPRODUCT(SUMIFS(Table13[[#All],[Column15]], Table13[[#All],[Column1]], J18, Table13[[#All],[Column3]], AH58:AH67))),""), ""))</f>
        <v>0</v>
      </c>
      <c r="K127" s="780" cm="1">
        <f t="array" ref="K127">IF($D$55="Facility", SUM(SUMIFS(Stationary_Combustion[Biofuel CO2
(tonnes)], Stationary_Combustion[Year], K18, Stationary_Combustion[Facility ID], C121), SUMIFS(Table13[[#All],[Column15]], Table13[[#All],[Column1]], K18, Table13[[#All],[Column3]], C121)),_xlfn.IFNA(IF($D$55="Country",SUM(SUMPRODUCT(SUMIFS(Stationary_Combustion[Biofuel CO2
(tonnes)], Stationary_Combustion[Year], K18,  Stationary_Combustion[Facility ID], AH58:AH67)), SUMPRODUCT(SUMIFS(Table13[[#All],[Column15]], Table13[[#All],[Column1]], K18, Table13[[#All],[Column3]], AH58:AH67))),""), ""))</f>
        <v>0</v>
      </c>
      <c r="V127" s="311"/>
    </row>
    <row r="128" spans="1:22">
      <c r="A128" s="311"/>
      <c r="V128" s="311"/>
    </row>
    <row r="129" spans="1:22">
      <c r="A129" s="311"/>
      <c r="V129" s="311"/>
    </row>
    <row r="130" spans="1:22">
      <c r="A130" s="311"/>
      <c r="V130" s="311"/>
    </row>
    <row r="131" spans="1:22">
      <c r="A131" s="311"/>
      <c r="V131" s="311"/>
    </row>
    <row r="132" spans="1:22">
      <c r="A132" s="311"/>
      <c r="V132" s="311"/>
    </row>
    <row r="133" spans="1:22">
      <c r="A133" s="311"/>
      <c r="V133" s="311"/>
    </row>
    <row r="134" spans="1:22">
      <c r="A134" s="311"/>
      <c r="V134" s="311"/>
    </row>
    <row r="135" spans="1:22">
      <c r="A135" s="311"/>
      <c r="V135" s="311"/>
    </row>
    <row r="136" spans="1:22">
      <c r="A136" s="311"/>
      <c r="V136" s="311"/>
    </row>
    <row r="137" spans="1:22">
      <c r="A137" s="311"/>
      <c r="V137" s="311"/>
    </row>
    <row r="138" spans="1:22">
      <c r="A138" s="311"/>
      <c r="V138" s="311"/>
    </row>
    <row r="139" spans="1:22">
      <c r="A139" s="311"/>
      <c r="V139" s="311"/>
    </row>
    <row r="140" spans="1:22">
      <c r="A140" s="311"/>
      <c r="V140" s="311"/>
    </row>
    <row r="141" spans="1:22">
      <c r="A141" s="311"/>
      <c r="V141" s="311"/>
    </row>
    <row r="142" spans="1:22">
      <c r="A142" s="311"/>
      <c r="V142" s="311"/>
    </row>
    <row r="143" spans="1:22">
      <c r="A143" s="311"/>
      <c r="V143" s="311"/>
    </row>
    <row r="144" spans="1:22">
      <c r="A144" s="311"/>
      <c r="V144" s="311"/>
    </row>
    <row r="145" spans="1:22">
      <c r="A145" s="311"/>
      <c r="V145" s="311"/>
    </row>
    <row r="146" spans="1:22">
      <c r="A146" s="311"/>
      <c r="V146" s="311"/>
    </row>
    <row r="147" spans="1:22">
      <c r="A147" s="311"/>
      <c r="V147" s="311"/>
    </row>
    <row r="148" spans="1:22">
      <c r="A148" s="311"/>
      <c r="V148" s="311"/>
    </row>
    <row r="149" spans="1:22">
      <c r="A149" s="311"/>
      <c r="V149" s="311"/>
    </row>
    <row r="150" spans="1:22">
      <c r="A150" s="311"/>
      <c r="V150" s="311"/>
    </row>
    <row r="151" spans="1:22">
      <c r="A151" s="311"/>
      <c r="V151" s="311"/>
    </row>
    <row r="152" spans="1:22">
      <c r="A152" s="311"/>
      <c r="V152" s="311"/>
    </row>
    <row r="153" spans="1:22">
      <c r="A153" s="311"/>
      <c r="V153" s="311"/>
    </row>
    <row r="154" spans="1:22">
      <c r="A154" s="311"/>
      <c r="V154" s="311"/>
    </row>
    <row r="155" spans="1:22">
      <c r="A155" s="311"/>
      <c r="V155" s="311"/>
    </row>
    <row r="156" spans="1:22">
      <c r="A156" s="311"/>
      <c r="V156" s="311"/>
    </row>
    <row r="157" spans="1:22">
      <c r="A157" s="311"/>
      <c r="V157" s="311"/>
    </row>
    <row r="158" spans="1:22">
      <c r="A158" s="311"/>
      <c r="V158" s="311"/>
    </row>
    <row r="159" spans="1:22">
      <c r="A159" s="311"/>
      <c r="V159" s="311"/>
    </row>
    <row r="160" spans="1:22">
      <c r="A160" s="311"/>
      <c r="V160" s="311"/>
    </row>
    <row r="161" spans="1:22">
      <c r="A161" s="311"/>
      <c r="V161" s="311"/>
    </row>
    <row r="162" spans="1:22">
      <c r="A162" s="311"/>
      <c r="V162" s="311"/>
    </row>
    <row r="163" spans="1:22">
      <c r="A163" s="311"/>
      <c r="V163" s="311"/>
    </row>
    <row r="164" spans="1:22">
      <c r="A164" s="311"/>
      <c r="V164" s="311"/>
    </row>
    <row r="165" spans="1:22">
      <c r="A165" s="311"/>
      <c r="V165" s="311"/>
    </row>
    <row r="166" spans="1:22">
      <c r="A166" s="311"/>
      <c r="V166" s="311"/>
    </row>
    <row r="167" spans="1:22">
      <c r="A167" s="311"/>
      <c r="V167" s="311"/>
    </row>
    <row r="168" spans="1:22">
      <c r="A168" s="311"/>
      <c r="V168" s="311"/>
    </row>
    <row r="169" spans="1:22">
      <c r="A169" s="311"/>
      <c r="V169" s="311"/>
    </row>
    <row r="170" spans="1:22">
      <c r="A170" s="311"/>
      <c r="V170" s="311"/>
    </row>
    <row r="171" spans="1:22">
      <c r="A171" s="311"/>
      <c r="V171" s="311"/>
    </row>
    <row r="172" spans="1:22">
      <c r="A172" s="311"/>
      <c r="V172" s="311"/>
    </row>
    <row r="173" spans="1:22">
      <c r="A173" s="311"/>
      <c r="V173" s="311"/>
    </row>
    <row r="174" spans="1:22">
      <c r="A174" s="311"/>
      <c r="V174" s="311"/>
    </row>
    <row r="175" spans="1:22">
      <c r="A175" s="311"/>
      <c r="V175" s="311"/>
    </row>
    <row r="176" spans="1:22">
      <c r="A176" s="311"/>
      <c r="V176" s="311"/>
    </row>
    <row r="177" spans="1:22">
      <c r="A177" s="311"/>
      <c r="V177" s="311"/>
    </row>
    <row r="178" spans="1:22">
      <c r="A178" s="311"/>
      <c r="V178" s="311"/>
    </row>
    <row r="179" spans="1:22">
      <c r="A179" s="311"/>
      <c r="V179" s="311"/>
    </row>
    <row r="180" spans="1:22">
      <c r="A180" s="311"/>
      <c r="V180" s="311"/>
    </row>
    <row r="181" spans="1:22">
      <c r="A181" s="311"/>
      <c r="V181" s="311"/>
    </row>
    <row r="182" spans="1:22">
      <c r="A182" s="311"/>
      <c r="V182" s="311"/>
    </row>
    <row r="183" spans="1:22">
      <c r="A183" s="311"/>
      <c r="V183" s="311"/>
    </row>
    <row r="184" spans="1:22">
      <c r="A184" s="311"/>
      <c r="V184" s="311"/>
    </row>
    <row r="185" spans="1:22">
      <c r="A185" s="311"/>
      <c r="V185" s="311"/>
    </row>
    <row r="186" spans="1:22">
      <c r="A186" s="311"/>
      <c r="V186" s="311"/>
    </row>
    <row r="187" spans="1:22">
      <c r="A187" s="311"/>
      <c r="V187" s="311"/>
    </row>
    <row r="188" spans="1:22">
      <c r="A188" s="311"/>
      <c r="V188" s="311"/>
    </row>
    <row r="189" spans="1:22">
      <c r="A189" s="311"/>
      <c r="V189" s="311"/>
    </row>
    <row r="190" spans="1:22">
      <c r="A190" s="311"/>
      <c r="V190" s="311"/>
    </row>
    <row r="191" spans="1:22">
      <c r="A191" s="311"/>
      <c r="V191" s="311"/>
    </row>
    <row r="192" spans="1:22">
      <c r="A192" s="311"/>
      <c r="V192" s="311"/>
    </row>
    <row r="193" spans="1:22">
      <c r="A193" s="311"/>
      <c r="V193" s="311"/>
    </row>
    <row r="194" spans="1:22">
      <c r="A194" s="311"/>
      <c r="V194" s="311"/>
    </row>
    <row r="195" spans="1:22">
      <c r="A195" s="311"/>
      <c r="V195" s="311"/>
    </row>
    <row r="196" spans="1:22">
      <c r="A196" s="311"/>
      <c r="V196" s="311"/>
    </row>
    <row r="197" spans="1:22">
      <c r="A197" s="311"/>
      <c r="V197" s="311"/>
    </row>
    <row r="198" spans="1:22">
      <c r="A198" s="311"/>
      <c r="V198" s="311"/>
    </row>
    <row r="199" spans="1:22">
      <c r="A199" s="311"/>
      <c r="V199" s="311"/>
    </row>
    <row r="200" spans="1:22">
      <c r="A200" s="311"/>
      <c r="V200" s="311"/>
    </row>
    <row r="201" spans="1:22">
      <c r="A201" s="311"/>
      <c r="V201" s="311"/>
    </row>
    <row r="202" spans="1:22">
      <c r="A202" s="311"/>
      <c r="V202" s="311"/>
    </row>
    <row r="203" spans="1:22">
      <c r="A203" s="311"/>
      <c r="V203" s="311"/>
    </row>
    <row r="204" spans="1:22">
      <c r="A204" s="311"/>
      <c r="V204" s="311"/>
    </row>
    <row r="205" spans="1:22">
      <c r="A205" s="311"/>
      <c r="V205" s="311"/>
    </row>
    <row r="206" spans="1:22">
      <c r="A206" s="311"/>
      <c r="V206" s="311"/>
    </row>
    <row r="207" spans="1:22">
      <c r="A207" s="311"/>
      <c r="V207" s="311"/>
    </row>
    <row r="208" spans="1:22">
      <c r="A208" s="311"/>
      <c r="V208" s="311"/>
    </row>
    <row r="209" spans="1:22">
      <c r="A209" s="311"/>
      <c r="V209" s="311"/>
    </row>
    <row r="210" spans="1:22">
      <c r="A210" s="311"/>
      <c r="V210" s="311"/>
    </row>
    <row r="211" spans="1:22">
      <c r="A211" s="311"/>
      <c r="V211" s="311"/>
    </row>
    <row r="212" spans="1:22">
      <c r="A212" s="311"/>
      <c r="V212" s="311"/>
    </row>
    <row r="213" spans="1:22">
      <c r="A213" s="311"/>
      <c r="V213" s="311"/>
    </row>
    <row r="214" spans="1:22">
      <c r="A214" s="311"/>
      <c r="V214" s="311"/>
    </row>
    <row r="215" spans="1:22">
      <c r="A215" s="311"/>
      <c r="V215" s="311"/>
    </row>
    <row r="216" spans="1:22">
      <c r="A216" s="311"/>
      <c r="V216" s="311"/>
    </row>
  </sheetData>
  <mergeCells count="23">
    <mergeCell ref="Y56:AH56"/>
    <mergeCell ref="F56:K56"/>
    <mergeCell ref="C121:C127"/>
    <mergeCell ref="F17:K17"/>
    <mergeCell ref="D15:E15"/>
    <mergeCell ref="D16:E16"/>
    <mergeCell ref="C93:C99"/>
    <mergeCell ref="C100:C106"/>
    <mergeCell ref="C107:C113"/>
    <mergeCell ref="C58:C64"/>
    <mergeCell ref="C65:C71"/>
    <mergeCell ref="C72:C78"/>
    <mergeCell ref="C79:C85"/>
    <mergeCell ref="D55:E55"/>
    <mergeCell ref="M79:M82"/>
    <mergeCell ref="C86:C92"/>
    <mergeCell ref="B109:B116"/>
    <mergeCell ref="C114:C120"/>
    <mergeCell ref="C9:J9"/>
    <mergeCell ref="M58:M62"/>
    <mergeCell ref="M64:M67"/>
    <mergeCell ref="M68:M72"/>
    <mergeCell ref="M73:M78"/>
  </mergeCells>
  <phoneticPr fontId="35" type="noConversion"/>
  <conditionalFormatting sqref="D58:K64">
    <cfRule type="expression" dxfId="17" priority="1">
      <formula>IF($C$58="", TRUE)</formula>
    </cfRule>
  </conditionalFormatting>
  <conditionalFormatting sqref="D65:K71">
    <cfRule type="expression" dxfId="16" priority="17">
      <formula>IF($C$65="", TRUE)</formula>
    </cfRule>
  </conditionalFormatting>
  <conditionalFormatting sqref="D72:K78">
    <cfRule type="expression" dxfId="15" priority="16">
      <formula>IF($C$72="", TRUE)</formula>
    </cfRule>
  </conditionalFormatting>
  <conditionalFormatting sqref="D79:K85">
    <cfRule type="expression" dxfId="14" priority="18">
      <formula>IF($C$79="", TRUE)</formula>
    </cfRule>
  </conditionalFormatting>
  <conditionalFormatting sqref="D86:K92">
    <cfRule type="expression" dxfId="13" priority="15">
      <formula>IF($C$86="", TRUE)</formula>
    </cfRule>
  </conditionalFormatting>
  <conditionalFormatting sqref="D93:K99">
    <cfRule type="expression" dxfId="12" priority="14">
      <formula>IF($C$93="", TRUE)</formula>
    </cfRule>
  </conditionalFormatting>
  <conditionalFormatting sqref="D100:K106">
    <cfRule type="expression" dxfId="11" priority="13">
      <formula>IF($C$100="", TRUE)</formula>
    </cfRule>
  </conditionalFormatting>
  <conditionalFormatting sqref="D107:K113">
    <cfRule type="expression" dxfId="10" priority="12">
      <formula>IF($C$107="", TRUE)</formula>
    </cfRule>
  </conditionalFormatting>
  <conditionalFormatting sqref="D114:K120">
    <cfRule type="expression" dxfId="9" priority="11">
      <formula>IF($C$114="", TRUE)</formula>
    </cfRule>
  </conditionalFormatting>
  <conditionalFormatting sqref="D121:K127">
    <cfRule type="expression" dxfId="8" priority="10">
      <formula>IF($C$121="", TRUE)</formula>
    </cfRule>
  </conditionalFormatting>
  <conditionalFormatting sqref="E70">
    <cfRule type="expression" dxfId="7" priority="2">
      <formula>IF($C$65="", TRUE)</formula>
    </cfRule>
  </conditionalFormatting>
  <conditionalFormatting sqref="E77">
    <cfRule type="expression" dxfId="6" priority="3">
      <formula>IF($C$72="", TRUE)</formula>
    </cfRule>
  </conditionalFormatting>
  <conditionalFormatting sqref="E84">
    <cfRule type="expression" dxfId="5" priority="4">
      <formula>IF($C$79="", TRUE)</formula>
    </cfRule>
  </conditionalFormatting>
  <conditionalFormatting sqref="E91">
    <cfRule type="expression" dxfId="4" priority="5">
      <formula>IF($C$86="", TRUE)</formula>
    </cfRule>
  </conditionalFormatting>
  <conditionalFormatting sqref="E98">
    <cfRule type="expression" dxfId="3" priority="6">
      <formula>IF($C$93="", TRUE)</formula>
    </cfRule>
  </conditionalFormatting>
  <conditionalFormatting sqref="E105">
    <cfRule type="expression" dxfId="2" priority="7">
      <formula>IF($C$100="", TRUE)</formula>
    </cfRule>
  </conditionalFormatting>
  <conditionalFormatting sqref="E112">
    <cfRule type="expression" dxfId="1" priority="8">
      <formula>IF($C$107="", TRUE)</formula>
    </cfRule>
  </conditionalFormatting>
  <conditionalFormatting sqref="E119">
    <cfRule type="expression" dxfId="0" priority="9">
      <formula>IF($C$114="", TRUE)</formula>
    </cfRule>
  </conditionalFormatting>
  <pageMargins left="0.70866141732283472" right="0.70866141732283472" top="0.74803149606299213" bottom="0.74803149606299213" header="0.31496062992125984" footer="0.31496062992125984"/>
  <pageSetup scale="35" orientation="landscape" cellComments="atEnd" r:id="rId1"/>
  <rowBreaks count="1" manualBreakCount="1">
    <brk id="49" min="1" max="11"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E46A6531-7AEA-485E-884D-DA35D68DBF3B}">
          <x14:formula1>
            <xm:f>Dropdowns!$B$2:$B$4</xm:f>
          </x14:formula1>
          <xm:sqref>N55</xm:sqref>
        </x14:dataValidation>
        <x14:dataValidation type="list" allowBlank="1" showInputMessage="1" showErrorMessage="1" xr:uid="{7F480AEF-EBA9-4E9E-9B0A-D71534BA0FBD}">
          <x14:formula1>
            <xm:f>Dropdowns!$B$2:$B$3</xm:f>
          </x14:formula1>
          <xm:sqref>D55:E55</xm:sqref>
        </x14:dataValidation>
        <x14:dataValidation type="list" allowBlank="1" showInputMessage="1" showErrorMessage="1" xr:uid="{DA14FC90-0164-42C6-8ED7-0C6B1919AF2F}">
          <x14:formula1>
            <xm:f>Dropdowns!$B$4</xm:f>
          </x14:formula1>
          <xm:sqref>D15:E15</xm:sqref>
        </x14:dataValidation>
        <x14:dataValidation type="list" allowBlank="1" showInputMessage="1" showErrorMessage="1" xr:uid="{1AF2FFD6-5542-4F26-90B8-7AE2F78788FB}">
          <x14:formula1>
            <xm:f>Parameters!$C$31:$C$34</xm:f>
          </x14:formula1>
          <xm:sqref>D16:E16</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2CA09-A628-48A5-B940-6D336B34D8A9}">
  <sheetPr codeName="Sheet9"/>
  <dimension ref="A1:AB129"/>
  <sheetViews>
    <sheetView topLeftCell="R1" zoomScale="160" zoomScaleNormal="160" workbookViewId="0">
      <selection activeCell="A2" sqref="A2"/>
    </sheetView>
  </sheetViews>
  <sheetFormatPr baseColWidth="10" defaultColWidth="9.140625" defaultRowHeight="15"/>
  <cols>
    <col min="1" max="1" width="16.7109375" customWidth="1"/>
    <col min="4" max="4" width="12.140625" customWidth="1"/>
    <col min="7" max="7" width="23.7109375" customWidth="1"/>
    <col min="8" max="8" width="26.28515625" customWidth="1"/>
    <col min="9" max="9" width="26.42578125" customWidth="1"/>
    <col min="10" max="10" width="19.28515625" customWidth="1"/>
    <col min="11" max="11" width="28.28515625" customWidth="1"/>
    <col min="12" max="12" width="20.140625" customWidth="1"/>
    <col min="13" max="13" width="18" customWidth="1"/>
    <col min="14" max="14" width="18.7109375" customWidth="1"/>
    <col min="15" max="15" width="19.28515625" customWidth="1"/>
    <col min="16" max="16" width="48.28515625" customWidth="1"/>
    <col min="17" max="17" width="47.28515625" customWidth="1"/>
    <col min="18" max="18" width="44.28515625" customWidth="1"/>
    <col min="19" max="19" width="45.5703125" customWidth="1"/>
    <col min="21" max="21" width="18.85546875" customWidth="1"/>
    <col min="22" max="22" width="13.7109375" customWidth="1"/>
    <col min="23" max="23" width="23.140625" customWidth="1"/>
  </cols>
  <sheetData>
    <row r="1" spans="1:28" s="207" customFormat="1">
      <c r="A1" s="207" t="s">
        <v>1441</v>
      </c>
      <c r="B1" s="207" t="s">
        <v>1442</v>
      </c>
      <c r="C1" s="207" t="s">
        <v>76</v>
      </c>
      <c r="D1" s="207" t="s">
        <v>1443</v>
      </c>
      <c r="E1" s="207" t="s">
        <v>111</v>
      </c>
      <c r="F1" s="207" t="s">
        <v>1444</v>
      </c>
      <c r="G1" s="207" t="s">
        <v>77</v>
      </c>
      <c r="H1" s="207" t="s">
        <v>1248</v>
      </c>
      <c r="I1" s="207" t="s">
        <v>88</v>
      </c>
      <c r="J1" s="207" t="s">
        <v>1445</v>
      </c>
      <c r="K1" s="207" t="s">
        <v>1446</v>
      </c>
      <c r="L1" s="207" t="s">
        <v>1386</v>
      </c>
      <c r="M1" s="207" t="s">
        <v>1447</v>
      </c>
      <c r="N1" s="207" t="s">
        <v>1448</v>
      </c>
      <c r="O1" s="207" t="s">
        <v>1227</v>
      </c>
      <c r="P1" s="207" t="s">
        <v>1449</v>
      </c>
      <c r="Q1" s="207" t="s">
        <v>1450</v>
      </c>
      <c r="S1" s="207" t="s">
        <v>1451</v>
      </c>
      <c r="V1" s="207" t="s">
        <v>1452</v>
      </c>
      <c r="W1" s="207" t="s">
        <v>1453</v>
      </c>
      <c r="Y1" s="207" t="s">
        <v>1454</v>
      </c>
    </row>
    <row r="2" spans="1:28">
      <c r="A2" t="s">
        <v>1882</v>
      </c>
      <c r="B2" t="s">
        <v>1434</v>
      </c>
      <c r="C2" t="s">
        <v>95</v>
      </c>
      <c r="D2" t="s">
        <v>1393</v>
      </c>
      <c r="E2" t="s">
        <v>1455</v>
      </c>
      <c r="F2" t="s">
        <v>49</v>
      </c>
      <c r="G2" t="s">
        <v>88</v>
      </c>
      <c r="H2" t="s">
        <v>1456</v>
      </c>
      <c r="I2" s="15" t="s">
        <v>115</v>
      </c>
      <c r="J2" t="s">
        <v>1457</v>
      </c>
      <c r="K2" t="s">
        <v>1395</v>
      </c>
      <c r="L2" t="s">
        <v>1391</v>
      </c>
      <c r="M2" t="s">
        <v>1458</v>
      </c>
      <c r="N2" t="s">
        <v>102</v>
      </c>
      <c r="O2" t="s">
        <v>165</v>
      </c>
      <c r="P2" t="s">
        <v>1236</v>
      </c>
      <c r="Q2" t="s">
        <v>1390</v>
      </c>
      <c r="R2" s="245" t="s">
        <v>1459</v>
      </c>
      <c r="S2" t="s">
        <v>93</v>
      </c>
      <c r="T2" t="s">
        <v>102</v>
      </c>
      <c r="U2" t="s">
        <v>1460</v>
      </c>
      <c r="V2" t="s">
        <v>1461</v>
      </c>
      <c r="W2" t="s">
        <v>1462</v>
      </c>
      <c r="Y2" t="s">
        <v>1463</v>
      </c>
      <c r="AB2" t="s">
        <v>67</v>
      </c>
    </row>
    <row r="3" spans="1:28">
      <c r="A3" t="s">
        <v>45</v>
      </c>
      <c r="B3" t="s">
        <v>717</v>
      </c>
      <c r="C3" t="s">
        <v>100</v>
      </c>
      <c r="D3" t="s">
        <v>1464</v>
      </c>
      <c r="E3" t="s">
        <v>1465</v>
      </c>
      <c r="F3" t="s">
        <v>1219</v>
      </c>
      <c r="G3" t="s">
        <v>89</v>
      </c>
      <c r="H3" t="s">
        <v>1466</v>
      </c>
      <c r="I3" s="15" t="s">
        <v>117</v>
      </c>
      <c r="J3" t="s">
        <v>1467</v>
      </c>
      <c r="K3" t="s">
        <v>1397</v>
      </c>
      <c r="L3" t="s">
        <v>1394</v>
      </c>
      <c r="M3" t="s">
        <v>1468</v>
      </c>
      <c r="N3" t="s">
        <v>1237</v>
      </c>
      <c r="O3" t="s">
        <v>198</v>
      </c>
      <c r="P3" t="s">
        <v>1234</v>
      </c>
      <c r="Q3" t="s">
        <v>1392</v>
      </c>
      <c r="R3" s="249" t="s">
        <v>1469</v>
      </c>
      <c r="S3" t="s">
        <v>92</v>
      </c>
      <c r="T3" t="s">
        <v>1237</v>
      </c>
      <c r="U3" t="s">
        <v>1470</v>
      </c>
      <c r="V3" t="s">
        <v>97</v>
      </c>
      <c r="W3" t="s">
        <v>99</v>
      </c>
      <c r="Y3" t="s">
        <v>96</v>
      </c>
      <c r="AB3" t="s">
        <v>566</v>
      </c>
    </row>
    <row r="4" spans="1:28">
      <c r="A4" t="s">
        <v>1471</v>
      </c>
      <c r="B4" t="s">
        <v>1403</v>
      </c>
      <c r="C4" t="s">
        <v>98</v>
      </c>
      <c r="D4" t="s">
        <v>1235</v>
      </c>
      <c r="E4" t="s">
        <v>1472</v>
      </c>
      <c r="G4" t="s">
        <v>90</v>
      </c>
      <c r="H4" t="s">
        <v>1473</v>
      </c>
      <c r="I4" s="15" t="s">
        <v>118</v>
      </c>
      <c r="K4" t="s">
        <v>1474</v>
      </c>
      <c r="L4" t="s">
        <v>397</v>
      </c>
      <c r="M4" t="s">
        <v>1475</v>
      </c>
      <c r="N4" t="s">
        <v>1476</v>
      </c>
      <c r="O4" t="s">
        <v>180</v>
      </c>
      <c r="P4" t="s">
        <v>1235</v>
      </c>
      <c r="Q4" t="s">
        <v>1396</v>
      </c>
      <c r="R4" s="252" t="s">
        <v>1469</v>
      </c>
      <c r="S4" t="s">
        <v>1374</v>
      </c>
      <c r="T4" t="s">
        <v>1477</v>
      </c>
      <c r="U4" t="s">
        <v>1478</v>
      </c>
      <c r="V4" t="s">
        <v>1479</v>
      </c>
      <c r="W4" t="s">
        <v>384</v>
      </c>
      <c r="Y4" t="s">
        <v>1480</v>
      </c>
      <c r="AB4" t="s">
        <v>568</v>
      </c>
    </row>
    <row r="5" spans="1:28">
      <c r="E5" t="s">
        <v>101</v>
      </c>
      <c r="G5" t="s">
        <v>92</v>
      </c>
      <c r="I5" s="15" t="s">
        <v>119</v>
      </c>
      <c r="K5" t="s">
        <v>1481</v>
      </c>
      <c r="L5" t="s">
        <v>402</v>
      </c>
      <c r="N5" t="s">
        <v>197</v>
      </c>
      <c r="O5" t="s">
        <v>1482</v>
      </c>
      <c r="T5" t="s">
        <v>197</v>
      </c>
      <c r="U5" t="s">
        <v>1483</v>
      </c>
      <c r="V5" t="s">
        <v>101</v>
      </c>
      <c r="W5" t="s">
        <v>452</v>
      </c>
      <c r="AB5" t="s">
        <v>570</v>
      </c>
    </row>
    <row r="6" spans="1:28">
      <c r="E6" t="s">
        <v>1484</v>
      </c>
      <c r="G6" t="s">
        <v>93</v>
      </c>
      <c r="I6" s="18" t="s">
        <v>120</v>
      </c>
      <c r="K6" t="s">
        <v>1235</v>
      </c>
      <c r="L6" t="s">
        <v>370</v>
      </c>
      <c r="N6" t="s">
        <v>1485</v>
      </c>
      <c r="O6" t="s">
        <v>181</v>
      </c>
      <c r="S6" s="207" t="s">
        <v>92</v>
      </c>
      <c r="T6" t="s">
        <v>1486</v>
      </c>
      <c r="U6" t="s">
        <v>1487</v>
      </c>
      <c r="V6" t="s">
        <v>1484</v>
      </c>
      <c r="W6" t="s">
        <v>481</v>
      </c>
      <c r="X6" t="s">
        <v>481</v>
      </c>
      <c r="AB6" t="s">
        <v>572</v>
      </c>
    </row>
    <row r="7" spans="1:28">
      <c r="E7" t="s">
        <v>1461</v>
      </c>
      <c r="G7" t="s">
        <v>91</v>
      </c>
      <c r="I7" s="18" t="s">
        <v>121</v>
      </c>
      <c r="N7" t="s">
        <v>1488</v>
      </c>
      <c r="O7" t="s">
        <v>1489</v>
      </c>
      <c r="Q7" t="s">
        <v>1490</v>
      </c>
      <c r="R7" s="245" t="s">
        <v>447</v>
      </c>
      <c r="S7" t="s">
        <v>1235</v>
      </c>
      <c r="T7" t="s">
        <v>1485</v>
      </c>
      <c r="U7" t="s">
        <v>1491</v>
      </c>
      <c r="V7" t="s">
        <v>1472</v>
      </c>
      <c r="W7" t="s">
        <v>448</v>
      </c>
      <c r="AB7" t="s">
        <v>574</v>
      </c>
    </row>
    <row r="8" spans="1:28">
      <c r="E8" t="s">
        <v>97</v>
      </c>
      <c r="G8" t="s">
        <v>94</v>
      </c>
      <c r="I8" s="18" t="s">
        <v>122</v>
      </c>
      <c r="O8" t="s">
        <v>149</v>
      </c>
      <c r="R8" s="249" t="s">
        <v>449</v>
      </c>
      <c r="S8" t="s">
        <v>1492</v>
      </c>
      <c r="T8" t="s">
        <v>1493</v>
      </c>
      <c r="U8" t="s">
        <v>1494</v>
      </c>
      <c r="V8" t="s">
        <v>1465</v>
      </c>
      <c r="W8" t="s">
        <v>1495</v>
      </c>
      <c r="AB8" t="s">
        <v>576</v>
      </c>
    </row>
    <row r="9" spans="1:28">
      <c r="E9" t="s">
        <v>1496</v>
      </c>
      <c r="I9" s="18" t="s">
        <v>123</v>
      </c>
      <c r="R9" s="252" t="s">
        <v>450</v>
      </c>
      <c r="S9" t="s">
        <v>1375</v>
      </c>
      <c r="T9" t="s">
        <v>1488</v>
      </c>
      <c r="U9" t="s">
        <v>1497</v>
      </c>
      <c r="W9" t="s">
        <v>463</v>
      </c>
      <c r="AB9" t="s">
        <v>578</v>
      </c>
    </row>
    <row r="10" spans="1:28">
      <c r="E10" t="s">
        <v>1498</v>
      </c>
      <c r="I10" s="15" t="s">
        <v>124</v>
      </c>
      <c r="Q10" t="s">
        <v>1499</v>
      </c>
      <c r="R10" s="245" t="s">
        <v>451</v>
      </c>
      <c r="T10" t="s">
        <v>1500</v>
      </c>
      <c r="U10" t="s">
        <v>1501</v>
      </c>
      <c r="W10" t="s">
        <v>505</v>
      </c>
      <c r="AB10" t="s">
        <v>580</v>
      </c>
    </row>
    <row r="11" spans="1:28">
      <c r="E11" t="s">
        <v>1502</v>
      </c>
      <c r="I11" s="18" t="s">
        <v>126</v>
      </c>
      <c r="R11" s="249" t="s">
        <v>453</v>
      </c>
      <c r="S11" s="207" t="s">
        <v>93</v>
      </c>
      <c r="T11" t="s">
        <v>1503</v>
      </c>
      <c r="U11" t="s">
        <v>1504</v>
      </c>
      <c r="AB11" t="s">
        <v>582</v>
      </c>
    </row>
    <row r="12" spans="1:28">
      <c r="E12" t="s">
        <v>96</v>
      </c>
      <c r="I12" s="18" t="s">
        <v>127</v>
      </c>
      <c r="R12" s="252" t="s">
        <v>454</v>
      </c>
      <c r="S12" t="s">
        <v>1235</v>
      </c>
      <c r="T12" t="s">
        <v>96</v>
      </c>
      <c r="U12" t="s">
        <v>1505</v>
      </c>
      <c r="AB12" t="s">
        <v>584</v>
      </c>
    </row>
    <row r="13" spans="1:28">
      <c r="E13" t="s">
        <v>195</v>
      </c>
      <c r="I13" s="18" t="s">
        <v>128</v>
      </c>
      <c r="O13" t="s">
        <v>165</v>
      </c>
      <c r="P13" s="245" t="s">
        <v>1506</v>
      </c>
      <c r="Q13" t="s">
        <v>1507</v>
      </c>
      <c r="R13" s="212" t="s">
        <v>397</v>
      </c>
      <c r="S13" t="s">
        <v>1375</v>
      </c>
      <c r="T13" t="s">
        <v>1508</v>
      </c>
      <c r="U13" t="s">
        <v>1509</v>
      </c>
      <c r="AB13" t="s">
        <v>586</v>
      </c>
    </row>
    <row r="14" spans="1:28">
      <c r="E14" t="s">
        <v>1510</v>
      </c>
      <c r="H14" s="728" t="s">
        <v>950</v>
      </c>
      <c r="I14" s="18" t="s">
        <v>129</v>
      </c>
      <c r="O14" t="s">
        <v>198</v>
      </c>
      <c r="P14" s="249" t="s">
        <v>1511</v>
      </c>
      <c r="Q14" t="s">
        <v>1512</v>
      </c>
      <c r="R14" s="245" t="s">
        <v>455</v>
      </c>
      <c r="T14" t="s">
        <v>1513</v>
      </c>
      <c r="U14" t="s">
        <v>1514</v>
      </c>
      <c r="AB14" t="s">
        <v>588</v>
      </c>
    </row>
    <row r="15" spans="1:28">
      <c r="E15" t="s">
        <v>1515</v>
      </c>
      <c r="H15" s="728" t="s">
        <v>945</v>
      </c>
      <c r="I15" s="18" t="s">
        <v>131</v>
      </c>
      <c r="O15" t="s">
        <v>180</v>
      </c>
      <c r="P15" s="249" t="s">
        <v>1516</v>
      </c>
      <c r="R15" s="249" t="s">
        <v>456</v>
      </c>
      <c r="S15" s="207" t="s">
        <v>1374</v>
      </c>
      <c r="T15" t="s">
        <v>774</v>
      </c>
      <c r="U15" t="s">
        <v>1517</v>
      </c>
      <c r="AB15" t="s">
        <v>590</v>
      </c>
    </row>
    <row r="16" spans="1:28">
      <c r="E16" t="s">
        <v>1518</v>
      </c>
      <c r="H16" s="728" t="s">
        <v>946</v>
      </c>
      <c r="I16" s="18" t="s">
        <v>132</v>
      </c>
      <c r="O16" t="s">
        <v>1482</v>
      </c>
      <c r="P16" s="249" t="s">
        <v>377</v>
      </c>
      <c r="R16" s="252" t="s">
        <v>457</v>
      </c>
      <c r="S16" t="s">
        <v>1235</v>
      </c>
      <c r="T16" t="s">
        <v>1463</v>
      </c>
      <c r="U16" t="s">
        <v>1519</v>
      </c>
      <c r="AB16" t="s">
        <v>592</v>
      </c>
    </row>
    <row r="17" spans="5:28">
      <c r="E17" t="s">
        <v>1520</v>
      </c>
      <c r="H17" s="728" t="s">
        <v>947</v>
      </c>
      <c r="I17" s="18" t="s">
        <v>133</v>
      </c>
      <c r="O17" t="s">
        <v>181</v>
      </c>
      <c r="P17" s="249" t="s">
        <v>1521</v>
      </c>
      <c r="S17" t="s">
        <v>1375</v>
      </c>
      <c r="T17" t="s">
        <v>1522</v>
      </c>
      <c r="U17" t="s">
        <v>1523</v>
      </c>
      <c r="AB17" t="s">
        <v>594</v>
      </c>
    </row>
    <row r="18" spans="5:28">
      <c r="H18" s="728" t="s">
        <v>948</v>
      </c>
      <c r="I18" s="18" t="s">
        <v>134</v>
      </c>
      <c r="O18" t="s">
        <v>1489</v>
      </c>
      <c r="P18" s="249" t="s">
        <v>1524</v>
      </c>
      <c r="Q18" t="s">
        <v>1525</v>
      </c>
      <c r="R18" s="245" t="s">
        <v>471</v>
      </c>
      <c r="T18" t="s">
        <v>1526</v>
      </c>
      <c r="U18" t="s">
        <v>1527</v>
      </c>
      <c r="AB18" t="s">
        <v>596</v>
      </c>
    </row>
    <row r="19" spans="5:28">
      <c r="H19" s="728" t="s">
        <v>949</v>
      </c>
      <c r="I19" s="15" t="s">
        <v>137</v>
      </c>
      <c r="O19" t="s">
        <v>149</v>
      </c>
      <c r="P19" s="249" t="s">
        <v>1528</v>
      </c>
      <c r="R19" s="249" t="s">
        <v>473</v>
      </c>
      <c r="T19" t="s">
        <v>1529</v>
      </c>
      <c r="U19" t="s">
        <v>1530</v>
      </c>
      <c r="AB19" t="s">
        <v>598</v>
      </c>
    </row>
    <row r="20" spans="5:28">
      <c r="H20" s="728" t="s">
        <v>951</v>
      </c>
      <c r="I20" s="18" t="s">
        <v>139</v>
      </c>
      <c r="P20" s="251"/>
      <c r="R20" s="249" t="s">
        <v>474</v>
      </c>
      <c r="T20" t="s">
        <v>384</v>
      </c>
      <c r="U20" t="s">
        <v>1531</v>
      </c>
      <c r="AB20" t="s">
        <v>600</v>
      </c>
    </row>
    <row r="21" spans="5:28">
      <c r="H21" s="728" t="s">
        <v>952</v>
      </c>
      <c r="I21" s="18" t="s">
        <v>140</v>
      </c>
      <c r="P21" s="250"/>
      <c r="R21" s="249" t="s">
        <v>475</v>
      </c>
      <c r="T21" t="s">
        <v>101</v>
      </c>
      <c r="U21" t="s">
        <v>1532</v>
      </c>
      <c r="AB21" t="s">
        <v>602</v>
      </c>
    </row>
    <row r="22" spans="5:28">
      <c r="H22" s="728" t="s">
        <v>953</v>
      </c>
      <c r="I22" s="18" t="s">
        <v>141</v>
      </c>
      <c r="O22" s="212" t="s">
        <v>1506</v>
      </c>
      <c r="P22" s="245" t="s">
        <v>209</v>
      </c>
      <c r="R22" s="249" t="s">
        <v>476</v>
      </c>
      <c r="T22" t="s">
        <v>1484</v>
      </c>
      <c r="U22" t="s">
        <v>1533</v>
      </c>
      <c r="AB22" t="s">
        <v>604</v>
      </c>
    </row>
    <row r="23" spans="5:28">
      <c r="H23" s="728" t="s">
        <v>954</v>
      </c>
      <c r="I23" s="18" t="s">
        <v>142</v>
      </c>
      <c r="P23" s="249" t="s">
        <v>255</v>
      </c>
      <c r="R23" s="249" t="s">
        <v>477</v>
      </c>
      <c r="T23" t="s">
        <v>1534</v>
      </c>
      <c r="U23" t="s">
        <v>1535</v>
      </c>
      <c r="AB23" t="s">
        <v>606</v>
      </c>
    </row>
    <row r="24" spans="5:28">
      <c r="H24" s="728" t="s">
        <v>955</v>
      </c>
      <c r="I24" s="43" t="s">
        <v>144</v>
      </c>
      <c r="P24" s="249" t="s">
        <v>259</v>
      </c>
      <c r="R24" s="249" t="s">
        <v>478</v>
      </c>
      <c r="T24" t="s">
        <v>1479</v>
      </c>
      <c r="U24" t="s">
        <v>1496</v>
      </c>
      <c r="AB24" t="s">
        <v>608</v>
      </c>
    </row>
    <row r="25" spans="5:28">
      <c r="H25" s="728" t="s">
        <v>956</v>
      </c>
      <c r="I25" s="43" t="s">
        <v>145</v>
      </c>
      <c r="P25" s="249" t="s">
        <v>291</v>
      </c>
      <c r="R25" s="249" t="s">
        <v>479</v>
      </c>
      <c r="T25" t="s">
        <v>1461</v>
      </c>
      <c r="U25" t="s">
        <v>1536</v>
      </c>
      <c r="AB25" t="s">
        <v>610</v>
      </c>
    </row>
    <row r="26" spans="5:28">
      <c r="H26" s="728" t="s">
        <v>957</v>
      </c>
      <c r="I26" s="18" t="s">
        <v>148</v>
      </c>
      <c r="P26" s="249" t="s">
        <v>293</v>
      </c>
      <c r="R26" s="249" t="s">
        <v>389</v>
      </c>
      <c r="T26" t="s">
        <v>97</v>
      </c>
      <c r="U26" t="s">
        <v>1537</v>
      </c>
      <c r="AB26" t="s">
        <v>612</v>
      </c>
    </row>
    <row r="27" spans="5:28">
      <c r="H27" s="728" t="s">
        <v>958</v>
      </c>
      <c r="I27" s="48" t="s">
        <v>149</v>
      </c>
      <c r="P27" s="249" t="s">
        <v>298</v>
      </c>
      <c r="R27" s="252" t="s">
        <v>480</v>
      </c>
      <c r="T27" t="s">
        <v>1472</v>
      </c>
      <c r="U27" t="s">
        <v>1538</v>
      </c>
      <c r="AB27" t="s">
        <v>614</v>
      </c>
    </row>
    <row r="28" spans="5:28">
      <c r="H28" s="728" t="s">
        <v>959</v>
      </c>
      <c r="I28" s="18" t="s">
        <v>150</v>
      </c>
      <c r="P28" s="249" t="s">
        <v>227</v>
      </c>
      <c r="Q28" s="212" t="s">
        <v>1539</v>
      </c>
      <c r="R28" s="212" t="s">
        <v>482</v>
      </c>
      <c r="T28" t="s">
        <v>1465</v>
      </c>
      <c r="U28" t="s">
        <v>1540</v>
      </c>
      <c r="AB28" t="s">
        <v>616</v>
      </c>
    </row>
    <row r="29" spans="5:28">
      <c r="H29" s="728" t="s">
        <v>960</v>
      </c>
      <c r="I29" s="18" t="s">
        <v>151</v>
      </c>
      <c r="P29" s="251" t="s">
        <v>309</v>
      </c>
      <c r="Q29" s="212" t="s">
        <v>1541</v>
      </c>
      <c r="R29" s="245" t="s">
        <v>403</v>
      </c>
      <c r="T29" t="s">
        <v>1542</v>
      </c>
      <c r="U29" t="s">
        <v>1543</v>
      </c>
    </row>
    <row r="30" spans="5:28">
      <c r="H30" s="728" t="s">
        <v>961</v>
      </c>
      <c r="I30" s="18" t="s">
        <v>152</v>
      </c>
      <c r="P30" s="250"/>
      <c r="R30" s="249" t="s">
        <v>404</v>
      </c>
      <c r="T30" t="s">
        <v>1544</v>
      </c>
      <c r="U30" t="s">
        <v>1545</v>
      </c>
      <c r="AB30" t="s">
        <v>617</v>
      </c>
    </row>
    <row r="31" spans="5:28">
      <c r="H31" s="728" t="s">
        <v>962</v>
      </c>
      <c r="I31" s="18" t="s">
        <v>153</v>
      </c>
      <c r="O31" s="212" t="s">
        <v>1511</v>
      </c>
      <c r="P31" s="245" t="s">
        <v>233</v>
      </c>
      <c r="R31" s="252" t="s">
        <v>405</v>
      </c>
      <c r="T31" t="s">
        <v>1546</v>
      </c>
      <c r="U31" t="s">
        <v>1547</v>
      </c>
      <c r="AB31" t="s">
        <v>619</v>
      </c>
    </row>
    <row r="32" spans="5:28">
      <c r="H32" s="728" t="s">
        <v>963</v>
      </c>
      <c r="I32" s="48" t="s">
        <v>154</v>
      </c>
      <c r="P32" s="249" t="s">
        <v>267</v>
      </c>
      <c r="Q32" s="212" t="s">
        <v>1548</v>
      </c>
      <c r="R32" s="245" t="s">
        <v>484</v>
      </c>
      <c r="T32" t="s">
        <v>1549</v>
      </c>
      <c r="U32" t="s">
        <v>1550</v>
      </c>
      <c r="AB32" t="s">
        <v>621</v>
      </c>
    </row>
    <row r="33" spans="8:28">
      <c r="H33" s="728" t="s">
        <v>1020</v>
      </c>
      <c r="I33" s="18" t="s">
        <v>155</v>
      </c>
      <c r="P33" s="249" t="s">
        <v>270</v>
      </c>
      <c r="R33" s="249" t="s">
        <v>486</v>
      </c>
      <c r="T33" t="s">
        <v>1551</v>
      </c>
      <c r="U33" t="s">
        <v>1552</v>
      </c>
      <c r="AB33" t="s">
        <v>623</v>
      </c>
    </row>
    <row r="34" spans="8:28">
      <c r="H34" s="728" t="s">
        <v>1023</v>
      </c>
      <c r="I34" s="18" t="s">
        <v>156</v>
      </c>
      <c r="P34" s="249" t="s">
        <v>296</v>
      </c>
      <c r="R34" s="249" t="s">
        <v>487</v>
      </c>
      <c r="T34" t="s">
        <v>1553</v>
      </c>
      <c r="U34" t="s">
        <v>1554</v>
      </c>
      <c r="AB34" t="s">
        <v>625</v>
      </c>
    </row>
    <row r="35" spans="8:28">
      <c r="H35" s="728" t="s">
        <v>1026</v>
      </c>
      <c r="I35" s="18" t="s">
        <v>157</v>
      </c>
      <c r="P35" s="249" t="s">
        <v>301</v>
      </c>
      <c r="R35" s="249" t="s">
        <v>488</v>
      </c>
      <c r="T35" t="s">
        <v>1555</v>
      </c>
      <c r="U35" t="s">
        <v>1556</v>
      </c>
      <c r="AB35" t="s">
        <v>627</v>
      </c>
    </row>
    <row r="36" spans="8:28">
      <c r="H36" s="728" t="s">
        <v>1028</v>
      </c>
      <c r="I36" s="18" t="s">
        <v>158</v>
      </c>
      <c r="P36" s="249" t="s">
        <v>270</v>
      </c>
      <c r="R36" s="249" t="s">
        <v>489</v>
      </c>
      <c r="T36" t="s">
        <v>1557</v>
      </c>
      <c r="U36" t="s">
        <v>1558</v>
      </c>
      <c r="AB36" t="s">
        <v>629</v>
      </c>
    </row>
    <row r="37" spans="8:28">
      <c r="H37" s="728" t="s">
        <v>1030</v>
      </c>
      <c r="I37" s="18" t="s">
        <v>159</v>
      </c>
      <c r="P37" s="252" t="s">
        <v>310</v>
      </c>
      <c r="R37" s="249" t="s">
        <v>490</v>
      </c>
      <c r="T37" t="s">
        <v>1559</v>
      </c>
      <c r="U37" t="s">
        <v>1560</v>
      </c>
    </row>
    <row r="38" spans="8:28">
      <c r="H38" s="728" t="s">
        <v>1033</v>
      </c>
      <c r="I38" s="18" t="s">
        <v>160</v>
      </c>
      <c r="R38" s="249" t="s">
        <v>491</v>
      </c>
      <c r="T38" t="s">
        <v>1561</v>
      </c>
      <c r="U38" t="s">
        <v>1562</v>
      </c>
      <c r="AB38" t="s">
        <v>641</v>
      </c>
    </row>
    <row r="39" spans="8:28">
      <c r="H39" s="728" t="s">
        <v>1035</v>
      </c>
      <c r="I39" s="48" t="s">
        <v>161</v>
      </c>
      <c r="O39" s="212" t="s">
        <v>1516</v>
      </c>
      <c r="P39" s="245" t="s">
        <v>274</v>
      </c>
      <c r="R39" s="249" t="s">
        <v>492</v>
      </c>
      <c r="AB39" t="s">
        <v>643</v>
      </c>
    </row>
    <row r="40" spans="8:28">
      <c r="H40" s="728" t="s">
        <v>1037</v>
      </c>
      <c r="I40" s="48" t="s">
        <v>162</v>
      </c>
      <c r="P40" s="249" t="s">
        <v>278</v>
      </c>
      <c r="R40" s="249" t="s">
        <v>493</v>
      </c>
      <c r="AB40" t="s">
        <v>645</v>
      </c>
    </row>
    <row r="41" spans="8:28">
      <c r="H41" s="728" t="s">
        <v>865</v>
      </c>
      <c r="I41" s="48" t="s">
        <v>163</v>
      </c>
      <c r="P41" s="249" t="s">
        <v>280</v>
      </c>
      <c r="R41" s="249" t="s">
        <v>494</v>
      </c>
      <c r="AB41" t="s">
        <v>647</v>
      </c>
    </row>
    <row r="42" spans="8:28">
      <c r="H42" s="728" t="s">
        <v>867</v>
      </c>
      <c r="I42" s="18" t="s">
        <v>164</v>
      </c>
      <c r="P42" s="252" t="s">
        <v>280</v>
      </c>
      <c r="R42" s="249" t="s">
        <v>495</v>
      </c>
      <c r="AB42" t="s">
        <v>649</v>
      </c>
    </row>
    <row r="43" spans="8:28">
      <c r="H43" s="728" t="s">
        <v>869</v>
      </c>
      <c r="I43" s="48" t="s">
        <v>165</v>
      </c>
      <c r="R43" s="249" t="s">
        <v>496</v>
      </c>
      <c r="AB43" t="s">
        <v>66</v>
      </c>
    </row>
    <row r="44" spans="8:28">
      <c r="H44" s="728" t="s">
        <v>871</v>
      </c>
      <c r="I44" s="18" t="s">
        <v>166</v>
      </c>
      <c r="O44" s="212" t="s">
        <v>377</v>
      </c>
      <c r="P44" s="245" t="s">
        <v>282</v>
      </c>
      <c r="R44" s="249" t="s">
        <v>497</v>
      </c>
      <c r="AB44" t="s">
        <v>652</v>
      </c>
    </row>
    <row r="45" spans="8:28">
      <c r="H45" s="728" t="s">
        <v>873</v>
      </c>
      <c r="I45" s="18" t="s">
        <v>167</v>
      </c>
      <c r="P45" s="252" t="s">
        <v>284</v>
      </c>
      <c r="R45" s="252" t="s">
        <v>498</v>
      </c>
      <c r="AB45" t="s">
        <v>654</v>
      </c>
    </row>
    <row r="46" spans="8:28">
      <c r="H46" s="728" t="s">
        <v>977</v>
      </c>
      <c r="I46" s="18" t="s">
        <v>168</v>
      </c>
      <c r="Q46" s="212" t="s">
        <v>1563</v>
      </c>
      <c r="R46" s="212" t="s">
        <v>499</v>
      </c>
      <c r="AB46" t="s">
        <v>656</v>
      </c>
    </row>
    <row r="47" spans="8:28">
      <c r="H47" s="728" t="s">
        <v>875</v>
      </c>
      <c r="I47" s="18" t="s">
        <v>169</v>
      </c>
      <c r="O47" s="212" t="s">
        <v>1521</v>
      </c>
      <c r="P47" s="245" t="s">
        <v>287</v>
      </c>
      <c r="AB47" t="s">
        <v>658</v>
      </c>
    </row>
    <row r="48" spans="8:28">
      <c r="H48" s="728" t="s">
        <v>877</v>
      </c>
      <c r="I48" s="18" t="s">
        <v>170</v>
      </c>
      <c r="P48" s="252" t="s">
        <v>290</v>
      </c>
      <c r="Q48" s="244" t="s">
        <v>1564</v>
      </c>
      <c r="R48" s="245" t="s">
        <v>461</v>
      </c>
      <c r="AB48" t="s">
        <v>660</v>
      </c>
    </row>
    <row r="49" spans="8:28">
      <c r="H49" s="728" t="s">
        <v>881</v>
      </c>
      <c r="I49" s="18" t="s">
        <v>171</v>
      </c>
      <c r="R49" s="249" t="s">
        <v>501</v>
      </c>
      <c r="AB49" t="s">
        <v>662</v>
      </c>
    </row>
    <row r="50" spans="8:28">
      <c r="H50" s="728" t="s">
        <v>883</v>
      </c>
      <c r="I50" s="18" t="s">
        <v>172</v>
      </c>
      <c r="O50" s="212" t="s">
        <v>1524</v>
      </c>
      <c r="P50" s="212" t="s">
        <v>303</v>
      </c>
      <c r="R50" s="252" t="s">
        <v>502</v>
      </c>
    </row>
    <row r="51" spans="8:28">
      <c r="H51" s="728" t="s">
        <v>885</v>
      </c>
      <c r="I51" s="18" t="s">
        <v>173</v>
      </c>
      <c r="AB51" t="s">
        <v>663</v>
      </c>
    </row>
    <row r="52" spans="8:28">
      <c r="H52" s="728" t="s">
        <v>887</v>
      </c>
      <c r="I52" s="18" t="s">
        <v>174</v>
      </c>
      <c r="O52" s="212" t="s">
        <v>1528</v>
      </c>
      <c r="P52" s="212" t="s">
        <v>305</v>
      </c>
      <c r="Q52" s="212" t="s">
        <v>1565</v>
      </c>
      <c r="R52" s="212" t="s">
        <v>402</v>
      </c>
      <c r="AB52" t="s">
        <v>664</v>
      </c>
    </row>
    <row r="53" spans="8:28">
      <c r="H53" s="728" t="s">
        <v>889</v>
      </c>
      <c r="I53" s="48" t="s">
        <v>175</v>
      </c>
      <c r="Q53" s="212" t="s">
        <v>1566</v>
      </c>
      <c r="R53" s="212" t="s">
        <v>464</v>
      </c>
      <c r="AB53" t="s">
        <v>665</v>
      </c>
    </row>
    <row r="54" spans="8:28">
      <c r="H54" s="728" t="s">
        <v>1043</v>
      </c>
      <c r="I54" s="18" t="s">
        <v>176</v>
      </c>
      <c r="Q54" s="212" t="s">
        <v>1567</v>
      </c>
      <c r="R54" s="212" t="s">
        <v>465</v>
      </c>
      <c r="AB54" t="s">
        <v>666</v>
      </c>
    </row>
    <row r="55" spans="8:28">
      <c r="H55" s="728" t="s">
        <v>891</v>
      </c>
      <c r="I55" s="18" t="s">
        <v>177</v>
      </c>
      <c r="AB55" t="s">
        <v>667</v>
      </c>
    </row>
    <row r="56" spans="8:28">
      <c r="H56" s="728" t="s">
        <v>895</v>
      </c>
      <c r="I56" s="18" t="s">
        <v>178</v>
      </c>
      <c r="AB56" t="s">
        <v>668</v>
      </c>
    </row>
    <row r="57" spans="8:28">
      <c r="H57" s="728" t="s">
        <v>897</v>
      </c>
      <c r="I57" s="48" t="s">
        <v>180</v>
      </c>
      <c r="Q57" s="212" t="s">
        <v>1568</v>
      </c>
      <c r="R57" s="245" t="s">
        <v>407</v>
      </c>
      <c r="AB57" t="s">
        <v>669</v>
      </c>
    </row>
    <row r="58" spans="8:28">
      <c r="H58" s="728" t="s">
        <v>899</v>
      </c>
      <c r="I58" s="48" t="s">
        <v>181</v>
      </c>
      <c r="R58" s="249" t="s">
        <v>408</v>
      </c>
    </row>
    <row r="59" spans="8:28">
      <c r="H59" s="728" t="s">
        <v>901</v>
      </c>
      <c r="I59" s="18" t="s">
        <v>182</v>
      </c>
      <c r="R59" s="249" t="s">
        <v>409</v>
      </c>
      <c r="AB59" t="s">
        <v>719</v>
      </c>
    </row>
    <row r="60" spans="8:28">
      <c r="H60" s="728" t="s">
        <v>1044</v>
      </c>
      <c r="I60" s="18" t="s">
        <v>183</v>
      </c>
      <c r="R60" s="249" t="s">
        <v>410</v>
      </c>
      <c r="AB60" t="s">
        <v>722</v>
      </c>
    </row>
    <row r="61" spans="8:28">
      <c r="H61" s="728" t="s">
        <v>1045</v>
      </c>
      <c r="R61" s="249" t="s">
        <v>411</v>
      </c>
      <c r="AB61" t="s">
        <v>725</v>
      </c>
    </row>
    <row r="62" spans="8:28">
      <c r="H62" s="728" t="s">
        <v>1046</v>
      </c>
      <c r="R62" s="249" t="s">
        <v>412</v>
      </c>
      <c r="AB62" t="s">
        <v>728</v>
      </c>
    </row>
    <row r="63" spans="8:28">
      <c r="H63" s="728" t="s">
        <v>1047</v>
      </c>
      <c r="R63" s="249" t="s">
        <v>504</v>
      </c>
      <c r="AB63" t="s">
        <v>731</v>
      </c>
    </row>
    <row r="64" spans="8:28">
      <c r="H64" s="728" t="s">
        <v>909</v>
      </c>
      <c r="R64" s="249" t="s">
        <v>506</v>
      </c>
      <c r="AB64" t="s">
        <v>734</v>
      </c>
    </row>
    <row r="65" spans="8:28">
      <c r="H65" s="728" t="s">
        <v>1048</v>
      </c>
      <c r="R65" s="249" t="s">
        <v>507</v>
      </c>
      <c r="AB65" t="s">
        <v>737</v>
      </c>
    </row>
    <row r="66" spans="8:28">
      <c r="H66" s="728" t="s">
        <v>1049</v>
      </c>
      <c r="R66" s="249" t="s">
        <v>508</v>
      </c>
      <c r="AB66" t="s">
        <v>740</v>
      </c>
    </row>
    <row r="67" spans="8:28">
      <c r="H67" s="728" t="s">
        <v>1050</v>
      </c>
      <c r="R67" s="249" t="s">
        <v>509</v>
      </c>
      <c r="AB67" t="s">
        <v>743</v>
      </c>
    </row>
    <row r="68" spans="8:28">
      <c r="H68" s="728" t="s">
        <v>1051</v>
      </c>
      <c r="R68" s="249" t="s">
        <v>510</v>
      </c>
      <c r="AB68" t="s">
        <v>746</v>
      </c>
    </row>
    <row r="69" spans="8:28">
      <c r="H69" s="728" t="s">
        <v>1052</v>
      </c>
      <c r="Q69" s="244" t="s">
        <v>1569</v>
      </c>
      <c r="R69" s="245" t="s">
        <v>511</v>
      </c>
      <c r="AB69" t="s">
        <v>749</v>
      </c>
    </row>
    <row r="70" spans="8:28">
      <c r="H70" s="728" t="s">
        <v>1053</v>
      </c>
      <c r="R70" s="249" t="s">
        <v>512</v>
      </c>
      <c r="AB70" t="s">
        <v>752</v>
      </c>
    </row>
    <row r="71" spans="8:28">
      <c r="H71" s="728" t="s">
        <v>1054</v>
      </c>
      <c r="R71" s="249" t="s">
        <v>513</v>
      </c>
      <c r="AB71" t="s">
        <v>755</v>
      </c>
    </row>
    <row r="72" spans="8:28">
      <c r="H72" s="728" t="s">
        <v>1055</v>
      </c>
      <c r="R72" s="252" t="s">
        <v>514</v>
      </c>
      <c r="AB72" t="s">
        <v>758</v>
      </c>
    </row>
    <row r="73" spans="8:28">
      <c r="H73" s="728" t="s">
        <v>911</v>
      </c>
      <c r="Q73" s="212" t="s">
        <v>1570</v>
      </c>
      <c r="R73" s="212" t="s">
        <v>515</v>
      </c>
      <c r="AB73" t="s">
        <v>761</v>
      </c>
    </row>
    <row r="74" spans="8:28">
      <c r="H74" s="728" t="s">
        <v>1056</v>
      </c>
      <c r="Q74" s="246" t="s">
        <v>1571</v>
      </c>
      <c r="R74" s="245" t="s">
        <v>516</v>
      </c>
      <c r="AB74" t="s">
        <v>764</v>
      </c>
    </row>
    <row r="75" spans="8:28">
      <c r="H75" s="728" t="s">
        <v>1057</v>
      </c>
      <c r="R75" s="249" t="s">
        <v>517</v>
      </c>
      <c r="AB75" t="s">
        <v>767</v>
      </c>
    </row>
    <row r="76" spans="8:28">
      <c r="H76" s="728" t="s">
        <v>913</v>
      </c>
      <c r="R76" s="249" t="s">
        <v>518</v>
      </c>
      <c r="AB76" t="s">
        <v>770</v>
      </c>
    </row>
    <row r="77" spans="8:28">
      <c r="H77" s="728" t="s">
        <v>1058</v>
      </c>
      <c r="R77" s="249" t="s">
        <v>519</v>
      </c>
      <c r="AB77" t="s">
        <v>773</v>
      </c>
    </row>
    <row r="78" spans="8:28">
      <c r="H78" s="728" t="s">
        <v>915</v>
      </c>
      <c r="R78" s="249" t="s">
        <v>520</v>
      </c>
      <c r="AB78" t="s">
        <v>776</v>
      </c>
    </row>
    <row r="79" spans="8:28">
      <c r="H79" s="728" t="s">
        <v>917</v>
      </c>
      <c r="R79" s="249" t="s">
        <v>521</v>
      </c>
      <c r="AB79" t="s">
        <v>779</v>
      </c>
    </row>
    <row r="80" spans="8:28">
      <c r="H80" s="728" t="s">
        <v>1059</v>
      </c>
      <c r="R80" s="249" t="s">
        <v>522</v>
      </c>
      <c r="AB80" t="s">
        <v>782</v>
      </c>
    </row>
    <row r="81" spans="8:28">
      <c r="H81" s="728" t="s">
        <v>919</v>
      </c>
      <c r="R81" s="249" t="s">
        <v>523</v>
      </c>
      <c r="AB81" t="s">
        <v>784</v>
      </c>
    </row>
    <row r="82" spans="8:28">
      <c r="H82" s="728" t="s">
        <v>1060</v>
      </c>
      <c r="R82" s="249" t="s">
        <v>524</v>
      </c>
      <c r="AB82" t="s">
        <v>787</v>
      </c>
    </row>
    <row r="83" spans="8:28">
      <c r="H83" s="728" t="s">
        <v>921</v>
      </c>
      <c r="R83" s="249" t="s">
        <v>525</v>
      </c>
      <c r="AB83" t="s">
        <v>790</v>
      </c>
    </row>
    <row r="84" spans="8:28">
      <c r="H84" s="728" t="s">
        <v>1061</v>
      </c>
      <c r="R84" s="249" t="s">
        <v>526</v>
      </c>
      <c r="AB84" t="s">
        <v>793</v>
      </c>
    </row>
    <row r="85" spans="8:28">
      <c r="H85" s="728" t="s">
        <v>1062</v>
      </c>
      <c r="R85" s="252" t="s">
        <v>527</v>
      </c>
      <c r="AB85" t="s">
        <v>796</v>
      </c>
    </row>
    <row r="86" spans="8:28">
      <c r="H86" s="728" t="s">
        <v>1063</v>
      </c>
      <c r="AB86" t="s">
        <v>798</v>
      </c>
    </row>
    <row r="87" spans="8:28">
      <c r="H87" s="728" t="s">
        <v>923</v>
      </c>
      <c r="AB87" t="s">
        <v>801</v>
      </c>
    </row>
    <row r="88" spans="8:28">
      <c r="H88" s="728" t="s">
        <v>1064</v>
      </c>
      <c r="AB88" t="s">
        <v>804</v>
      </c>
    </row>
    <row r="89" spans="8:28">
      <c r="H89" s="728" t="s">
        <v>1065</v>
      </c>
      <c r="Q89" s="212" t="s">
        <v>1572</v>
      </c>
      <c r="R89" s="245" t="s">
        <v>528</v>
      </c>
      <c r="AB89" t="s">
        <v>807</v>
      </c>
    </row>
    <row r="90" spans="8:28">
      <c r="H90" s="728" t="s">
        <v>1066</v>
      </c>
      <c r="R90" s="249" t="s">
        <v>529</v>
      </c>
    </row>
    <row r="91" spans="8:28">
      <c r="H91" s="728" t="s">
        <v>1067</v>
      </c>
      <c r="R91" s="249" t="s">
        <v>530</v>
      </c>
    </row>
    <row r="92" spans="8:28">
      <c r="H92" s="728" t="s">
        <v>1067</v>
      </c>
      <c r="R92" s="249" t="s">
        <v>531</v>
      </c>
    </row>
    <row r="93" spans="8:28">
      <c r="H93" s="728" t="s">
        <v>1067</v>
      </c>
      <c r="R93" s="249" t="s">
        <v>532</v>
      </c>
    </row>
    <row r="94" spans="8:28">
      <c r="H94" s="728" t="s">
        <v>1068</v>
      </c>
      <c r="R94" s="249" t="s">
        <v>533</v>
      </c>
    </row>
    <row r="95" spans="8:28">
      <c r="H95" s="728" t="s">
        <v>1069</v>
      </c>
      <c r="R95" s="249" t="s">
        <v>534</v>
      </c>
    </row>
    <row r="96" spans="8:28">
      <c r="H96" s="728" t="s">
        <v>925</v>
      </c>
      <c r="R96" s="249" t="s">
        <v>535</v>
      </c>
    </row>
    <row r="97" spans="8:18">
      <c r="H97" s="728" t="s">
        <v>1070</v>
      </c>
      <c r="R97" s="249" t="s">
        <v>536</v>
      </c>
    </row>
    <row r="98" spans="8:18">
      <c r="H98" s="728" t="s">
        <v>929</v>
      </c>
      <c r="R98" s="249" t="s">
        <v>537</v>
      </c>
    </row>
    <row r="99" spans="8:18">
      <c r="H99" s="728" t="s">
        <v>931</v>
      </c>
      <c r="R99" s="249" t="s">
        <v>538</v>
      </c>
    </row>
    <row r="100" spans="8:18">
      <c r="H100" s="728" t="s">
        <v>1071</v>
      </c>
      <c r="R100" s="249" t="s">
        <v>539</v>
      </c>
    </row>
    <row r="101" spans="8:18">
      <c r="H101" s="728" t="s">
        <v>1072</v>
      </c>
      <c r="R101" s="249" t="s">
        <v>540</v>
      </c>
    </row>
    <row r="102" spans="8:18">
      <c r="H102" s="728" t="s">
        <v>1073</v>
      </c>
      <c r="R102" s="252" t="s">
        <v>541</v>
      </c>
    </row>
    <row r="103" spans="8:18">
      <c r="H103" s="728" t="s">
        <v>1074</v>
      </c>
    </row>
    <row r="104" spans="8:18">
      <c r="H104" s="729" t="s">
        <v>1076</v>
      </c>
    </row>
    <row r="105" spans="8:18">
      <c r="H105" s="729" t="s">
        <v>1078</v>
      </c>
      <c r="Q105" s="244" t="s">
        <v>1573</v>
      </c>
      <c r="R105" s="245" t="s">
        <v>542</v>
      </c>
    </row>
    <row r="106" spans="8:18">
      <c r="H106" s="729" t="s">
        <v>1080</v>
      </c>
      <c r="R106" s="249" t="s">
        <v>543</v>
      </c>
    </row>
    <row r="107" spans="8:18">
      <c r="H107" s="729" t="s">
        <v>1082</v>
      </c>
      <c r="R107" s="249" t="s">
        <v>544</v>
      </c>
    </row>
    <row r="108" spans="8:18">
      <c r="H108" s="729" t="s">
        <v>1084</v>
      </c>
      <c r="R108" s="252" t="s">
        <v>545</v>
      </c>
    </row>
    <row r="109" spans="8:18">
      <c r="H109" s="729" t="s">
        <v>1086</v>
      </c>
    </row>
    <row r="110" spans="8:18">
      <c r="H110" s="729" t="s">
        <v>1088</v>
      </c>
    </row>
    <row r="111" spans="8:18">
      <c r="H111" s="729" t="s">
        <v>1090</v>
      </c>
    </row>
    <row r="112" spans="8:18">
      <c r="H112" s="729" t="s">
        <v>1092</v>
      </c>
    </row>
    <row r="113" spans="8:8">
      <c r="H113" s="729" t="s">
        <v>1094</v>
      </c>
    </row>
    <row r="114" spans="8:8">
      <c r="H114" s="729" t="s">
        <v>1096</v>
      </c>
    </row>
    <row r="115" spans="8:8">
      <c r="H115" s="729" t="s">
        <v>1098</v>
      </c>
    </row>
    <row r="116" spans="8:8">
      <c r="H116" s="729" t="s">
        <v>1100</v>
      </c>
    </row>
    <row r="117" spans="8:8">
      <c r="H117" s="729" t="s">
        <v>1102</v>
      </c>
    </row>
    <row r="118" spans="8:8">
      <c r="H118" s="729" t="s">
        <v>1104</v>
      </c>
    </row>
    <row r="119" spans="8:8">
      <c r="H119" s="729" t="s">
        <v>1106</v>
      </c>
    </row>
    <row r="120" spans="8:8">
      <c r="H120" s="729" t="s">
        <v>1108</v>
      </c>
    </row>
    <row r="121" spans="8:8">
      <c r="H121" s="729" t="s">
        <v>1110</v>
      </c>
    </row>
    <row r="122" spans="8:8">
      <c r="H122" s="729" t="s">
        <v>1112</v>
      </c>
    </row>
    <row r="123" spans="8:8">
      <c r="H123" s="729" t="s">
        <v>1114</v>
      </c>
    </row>
    <row r="124" spans="8:8">
      <c r="H124" s="728" t="s">
        <v>1574</v>
      </c>
    </row>
    <row r="125" spans="8:8">
      <c r="H125" s="728" t="s">
        <v>1575</v>
      </c>
    </row>
    <row r="126" spans="8:8">
      <c r="H126" s="728" t="s">
        <v>1576</v>
      </c>
    </row>
    <row r="127" spans="8:8">
      <c r="H127" s="728" t="s">
        <v>966</v>
      </c>
    </row>
    <row r="128" spans="8:8">
      <c r="H128" s="728" t="s">
        <v>964</v>
      </c>
    </row>
    <row r="129" spans="8:8">
      <c r="H129" s="730" t="s">
        <v>1577</v>
      </c>
    </row>
  </sheetData>
  <phoneticPr fontId="35"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D9308-487B-4E66-A4EB-F7C607BBCCBF}">
  <sheetPr codeName="Sheet8"/>
  <dimension ref="A3:AM162"/>
  <sheetViews>
    <sheetView topLeftCell="A31" zoomScaleNormal="100" workbookViewId="0">
      <selection activeCell="P61" sqref="P61"/>
    </sheetView>
  </sheetViews>
  <sheetFormatPr baseColWidth="10" defaultColWidth="9.140625" defaultRowHeight="15"/>
  <cols>
    <col min="2" max="2" width="26.7109375" customWidth="1"/>
    <col min="3" max="3" width="16.85546875" customWidth="1"/>
    <col min="5" max="5" width="11.7109375" customWidth="1"/>
    <col min="14" max="16" width="8.7109375" customWidth="1"/>
  </cols>
  <sheetData>
    <row r="3" spans="1:39">
      <c r="B3" t="s">
        <v>978</v>
      </c>
      <c r="C3" t="s">
        <v>979</v>
      </c>
      <c r="D3" t="s">
        <v>551</v>
      </c>
      <c r="E3" t="s">
        <v>552</v>
      </c>
      <c r="G3" t="str">
        <f>Parameters!$D$19</f>
        <v>Sexto Informe IPCC</v>
      </c>
      <c r="N3" t="s">
        <v>1578</v>
      </c>
    </row>
    <row r="4" spans="1:39">
      <c r="B4" t="s">
        <v>940</v>
      </c>
      <c r="C4" t="s">
        <v>553</v>
      </c>
      <c r="D4">
        <v>1</v>
      </c>
      <c r="E4">
        <v>1</v>
      </c>
      <c r="G4">
        <f>IF(Parameters!$D$19="5th Assessment", E4, IF(Parameters!$D$19="4th Assessment", D4, 0))</f>
        <v>0</v>
      </c>
    </row>
    <row r="5" spans="1:39">
      <c r="B5" t="s">
        <v>943</v>
      </c>
      <c r="C5" t="s">
        <v>554</v>
      </c>
      <c r="D5">
        <v>25</v>
      </c>
      <c r="E5">
        <v>28</v>
      </c>
      <c r="G5">
        <f>IF(Parameters!$D$19="5th Assessment", E5, IF(Parameters!$D$19="4th Assessment", D5, 0))</f>
        <v>0</v>
      </c>
    </row>
    <row r="6" spans="1:39">
      <c r="B6" t="s">
        <v>944</v>
      </c>
      <c r="C6" t="s">
        <v>555</v>
      </c>
      <c r="D6">
        <v>298</v>
      </c>
      <c r="E6">
        <v>265</v>
      </c>
      <c r="G6">
        <f>IF(Parameters!$D$19="5th Assessment", E6, IF(Parameters!$D$19="4th Assessment", D6, 0))</f>
        <v>0</v>
      </c>
    </row>
    <row r="7" spans="1:39">
      <c r="B7" t="s">
        <v>966</v>
      </c>
      <c r="C7" t="s">
        <v>967</v>
      </c>
      <c r="D7">
        <v>17200</v>
      </c>
      <c r="E7">
        <v>16100</v>
      </c>
    </row>
    <row r="8" spans="1:39">
      <c r="B8" t="s">
        <v>964</v>
      </c>
      <c r="C8" t="s">
        <v>985</v>
      </c>
      <c r="D8">
        <v>22800</v>
      </c>
      <c r="E8">
        <v>23500</v>
      </c>
    </row>
    <row r="10" spans="1:39">
      <c r="A10" s="209" t="s">
        <v>194</v>
      </c>
      <c r="B10" s="209" t="s">
        <v>1579</v>
      </c>
      <c r="C10" s="209" t="s">
        <v>102</v>
      </c>
      <c r="D10" s="209" t="s">
        <v>1237</v>
      </c>
      <c r="E10" s="209" t="s">
        <v>1477</v>
      </c>
      <c r="F10" s="209" t="s">
        <v>197</v>
      </c>
      <c r="G10" s="209" t="s">
        <v>1486</v>
      </c>
      <c r="H10" s="209" t="s">
        <v>1485</v>
      </c>
      <c r="I10" s="209" t="s">
        <v>1493</v>
      </c>
      <c r="J10" s="209" t="s">
        <v>1488</v>
      </c>
      <c r="K10" s="209" t="s">
        <v>1500</v>
      </c>
      <c r="L10" s="209" t="s">
        <v>1503</v>
      </c>
      <c r="M10" s="209" t="s">
        <v>96</v>
      </c>
      <c r="N10" s="209" t="s">
        <v>1508</v>
      </c>
      <c r="O10" s="209" t="s">
        <v>1513</v>
      </c>
      <c r="P10" s="209" t="s">
        <v>774</v>
      </c>
      <c r="Q10" s="209" t="s">
        <v>1463</v>
      </c>
      <c r="R10" s="209" t="s">
        <v>1522</v>
      </c>
      <c r="S10" s="209" t="s">
        <v>1526</v>
      </c>
      <c r="T10" s="209" t="s">
        <v>1529</v>
      </c>
      <c r="U10" s="209" t="s">
        <v>384</v>
      </c>
      <c r="V10" s="209" t="s">
        <v>101</v>
      </c>
      <c r="W10" s="209" t="s">
        <v>1484</v>
      </c>
      <c r="X10" s="209" t="s">
        <v>1534</v>
      </c>
      <c r="Y10" s="209" t="s">
        <v>1479</v>
      </c>
      <c r="Z10" s="209" t="s">
        <v>1536</v>
      </c>
      <c r="AA10" s="209" t="s">
        <v>1537</v>
      </c>
      <c r="AB10" s="209" t="s">
        <v>1472</v>
      </c>
      <c r="AC10" s="209" t="s">
        <v>1465</v>
      </c>
      <c r="AD10" s="209" t="s">
        <v>1542</v>
      </c>
      <c r="AE10" s="209" t="s">
        <v>1544</v>
      </c>
      <c r="AF10" s="209" t="s">
        <v>1546</v>
      </c>
      <c r="AG10" s="209" t="s">
        <v>1549</v>
      </c>
      <c r="AH10" s="209" t="s">
        <v>1551</v>
      </c>
      <c r="AI10" s="209" t="s">
        <v>1553</v>
      </c>
      <c r="AJ10" s="209" t="s">
        <v>1555</v>
      </c>
      <c r="AK10" t="s">
        <v>1557</v>
      </c>
      <c r="AL10" t="s">
        <v>1559</v>
      </c>
      <c r="AM10" t="s">
        <v>1561</v>
      </c>
    </row>
    <row r="11" spans="1:39">
      <c r="A11" s="210" t="s">
        <v>102</v>
      </c>
      <c r="B11" s="210" t="s">
        <v>1460</v>
      </c>
      <c r="C11" s="210">
        <v>1</v>
      </c>
      <c r="D11" s="210">
        <v>3.78541178</v>
      </c>
      <c r="E11" s="210">
        <v>2.3809523799999999E-2</v>
      </c>
      <c r="F11" s="210">
        <v>0.13368055600000001</v>
      </c>
      <c r="G11" s="210">
        <v>0.13368055600000001</v>
      </c>
      <c r="H11" s="210"/>
      <c r="I11" s="210">
        <v>4.9509999999999997E-3</v>
      </c>
      <c r="J11" s="210">
        <v>3.7854117800000002E-3</v>
      </c>
      <c r="K11" s="210">
        <v>3785.4117799999999</v>
      </c>
      <c r="L11" s="210"/>
      <c r="M11" s="210"/>
      <c r="N11" s="210"/>
      <c r="O11" s="210"/>
      <c r="P11" s="210"/>
      <c r="Q11" s="210"/>
      <c r="R11" s="210"/>
      <c r="S11" s="210"/>
      <c r="T11" s="210"/>
      <c r="U11" s="210"/>
      <c r="V11" s="210"/>
      <c r="W11" s="210"/>
      <c r="X11" s="210"/>
      <c r="Y11" s="210"/>
      <c r="Z11" s="210"/>
      <c r="AA11" s="210"/>
      <c r="AB11" s="210"/>
      <c r="AC11" s="210"/>
      <c r="AD11" s="210"/>
      <c r="AE11" s="210"/>
      <c r="AF11" s="210"/>
      <c r="AG11" s="210"/>
      <c r="AH11" s="210"/>
      <c r="AI11" s="210"/>
      <c r="AJ11" s="210"/>
    </row>
    <row r="12" spans="1:39">
      <c r="A12" s="210" t="s">
        <v>1237</v>
      </c>
      <c r="B12" s="210" t="s">
        <v>1470</v>
      </c>
      <c r="C12" s="210">
        <v>0.26417205199999999</v>
      </c>
      <c r="D12" s="210">
        <v>1</v>
      </c>
      <c r="E12" s="210">
        <v>6.2898107700000002E-3</v>
      </c>
      <c r="F12" s="210">
        <v>3.5314666699999997E-2</v>
      </c>
      <c r="G12" s="210">
        <v>3.5314666699999997E-2</v>
      </c>
      <c r="H12" s="210"/>
      <c r="I12" s="210">
        <v>1.3079999999999999E-3</v>
      </c>
      <c r="J12" s="210">
        <v>1E-3</v>
      </c>
      <c r="K12" s="210"/>
      <c r="L12" s="210"/>
      <c r="M12" s="210"/>
      <c r="N12" s="210"/>
      <c r="O12" s="210"/>
      <c r="P12" s="210"/>
      <c r="Q12" s="210"/>
      <c r="R12" s="210"/>
      <c r="S12" s="210"/>
      <c r="T12" s="210"/>
      <c r="U12" s="210"/>
      <c r="V12" s="210"/>
      <c r="W12" s="210"/>
      <c r="X12" s="210"/>
      <c r="Y12" s="210"/>
      <c r="Z12" s="210"/>
      <c r="AA12" s="210"/>
      <c r="AB12" s="210"/>
      <c r="AC12" s="210"/>
      <c r="AD12" s="210"/>
      <c r="AE12" s="210"/>
      <c r="AF12" s="210"/>
      <c r="AG12" s="210"/>
      <c r="AH12" s="210"/>
      <c r="AI12" s="210"/>
      <c r="AJ12" s="210"/>
    </row>
    <row r="13" spans="1:39">
      <c r="A13" s="210" t="s">
        <v>1477</v>
      </c>
      <c r="B13" s="210" t="s">
        <v>1478</v>
      </c>
      <c r="C13" s="210">
        <v>42</v>
      </c>
      <c r="D13" s="210">
        <v>158.98729499999999</v>
      </c>
      <c r="E13" s="210">
        <v>1</v>
      </c>
      <c r="F13" s="210">
        <v>5.6145833300000003</v>
      </c>
      <c r="G13" s="210">
        <v>5.6145833300000003</v>
      </c>
      <c r="H13" s="210"/>
      <c r="I13" s="210"/>
      <c r="J13" s="210">
        <v>0.158987295</v>
      </c>
      <c r="K13" s="210"/>
      <c r="L13" s="210"/>
      <c r="M13" s="210"/>
      <c r="N13" s="210"/>
      <c r="O13" s="210"/>
      <c r="P13" s="210"/>
      <c r="Q13" s="210"/>
      <c r="R13" s="210"/>
      <c r="S13" s="210"/>
      <c r="T13" s="210"/>
      <c r="U13" s="210"/>
      <c r="V13" s="210"/>
      <c r="W13" s="210"/>
      <c r="X13" s="210"/>
      <c r="Y13" s="210"/>
      <c r="Z13" s="210"/>
      <c r="AA13" s="210"/>
      <c r="AB13" s="210"/>
      <c r="AC13" s="210"/>
      <c r="AD13" s="210"/>
      <c r="AE13" s="210"/>
      <c r="AF13" s="210"/>
      <c r="AG13" s="210"/>
      <c r="AH13" s="210"/>
      <c r="AI13" s="210"/>
      <c r="AJ13" s="210"/>
    </row>
    <row r="14" spans="1:39">
      <c r="A14" s="210" t="s">
        <v>197</v>
      </c>
      <c r="B14" s="210" t="s">
        <v>1483</v>
      </c>
      <c r="C14" s="210">
        <v>7.4805194799999999</v>
      </c>
      <c r="D14" s="210">
        <v>28.316846600000002</v>
      </c>
      <c r="E14" s="210">
        <v>0.178107607</v>
      </c>
      <c r="F14" s="210">
        <v>1</v>
      </c>
      <c r="G14" s="210">
        <v>1</v>
      </c>
      <c r="H14" s="210"/>
      <c r="I14" s="210"/>
      <c r="J14" s="210">
        <v>2.8316846600000001E-2</v>
      </c>
      <c r="K14" s="210"/>
      <c r="L14" s="210"/>
      <c r="M14" s="210"/>
      <c r="N14" s="210"/>
      <c r="O14" s="210"/>
      <c r="P14" s="210"/>
      <c r="Q14" s="210"/>
      <c r="R14" s="210"/>
      <c r="S14" s="210"/>
      <c r="T14" s="210"/>
      <c r="U14" s="210"/>
      <c r="V14" s="210"/>
      <c r="W14" s="210"/>
      <c r="X14" s="210"/>
      <c r="Y14" s="210"/>
      <c r="Z14" s="210"/>
      <c r="AA14" s="210"/>
      <c r="AB14" s="210"/>
      <c r="AC14" s="210"/>
      <c r="AD14" s="210"/>
      <c r="AE14" s="210"/>
      <c r="AF14" s="210"/>
      <c r="AG14" s="210"/>
      <c r="AH14" s="210"/>
      <c r="AI14" s="210"/>
      <c r="AJ14" s="210"/>
    </row>
    <row r="15" spans="1:39">
      <c r="A15" s="210" t="s">
        <v>1486</v>
      </c>
      <c r="B15" s="210" t="s">
        <v>1487</v>
      </c>
      <c r="C15" s="210">
        <v>7.4805194799999999</v>
      </c>
      <c r="D15" s="210">
        <v>28.316846600000002</v>
      </c>
      <c r="E15" s="210">
        <v>0.178107607</v>
      </c>
      <c r="F15" s="210">
        <v>1</v>
      </c>
      <c r="G15" s="210">
        <v>1</v>
      </c>
      <c r="H15" s="210"/>
      <c r="I15" s="210">
        <v>3.7037E-2</v>
      </c>
      <c r="J15" s="210">
        <v>2.8316846600000001E-2</v>
      </c>
      <c r="K15" s="210"/>
      <c r="L15" s="210"/>
      <c r="M15" s="210"/>
      <c r="N15" s="210"/>
      <c r="O15" s="210"/>
      <c r="P15" s="210"/>
      <c r="Q15" s="210"/>
      <c r="R15" s="210"/>
      <c r="S15" s="210"/>
      <c r="T15" s="210"/>
      <c r="U15" s="210"/>
      <c r="V15" s="210"/>
      <c r="W15" s="210"/>
      <c r="X15" s="210"/>
      <c r="Y15" s="210"/>
      <c r="Z15" s="210"/>
      <c r="AA15" s="210"/>
      <c r="AB15" s="210"/>
      <c r="AC15" s="210"/>
      <c r="AD15" s="210"/>
      <c r="AE15" s="210"/>
      <c r="AF15" s="210"/>
      <c r="AG15" s="210"/>
      <c r="AH15" s="210"/>
      <c r="AI15" s="210"/>
      <c r="AJ15" s="210"/>
    </row>
    <row r="16" spans="1:39">
      <c r="A16" s="210" t="s">
        <v>1485</v>
      </c>
      <c r="B16" s="210" t="s">
        <v>1491</v>
      </c>
      <c r="C16" s="210">
        <f>C15*100</f>
        <v>748.05194800000004</v>
      </c>
      <c r="D16" s="210">
        <f t="shared" ref="D16:J16" si="0">D15*100</f>
        <v>2831.6846600000003</v>
      </c>
      <c r="E16" s="210">
        <f t="shared" si="0"/>
        <v>17.810760699999999</v>
      </c>
      <c r="F16" s="210">
        <f t="shared" si="0"/>
        <v>100</v>
      </c>
      <c r="G16" s="210">
        <f t="shared" si="0"/>
        <v>100</v>
      </c>
      <c r="H16" s="210">
        <v>1</v>
      </c>
      <c r="I16" s="210">
        <f t="shared" si="0"/>
        <v>3.7037</v>
      </c>
      <c r="J16" s="210">
        <f t="shared" si="0"/>
        <v>2.8316846600000001</v>
      </c>
      <c r="K16" s="210"/>
      <c r="L16" s="210"/>
      <c r="M16" s="210"/>
      <c r="N16" s="210"/>
      <c r="O16" s="210"/>
      <c r="P16" s="210"/>
      <c r="Q16" s="210"/>
      <c r="R16" s="210"/>
      <c r="S16" s="210"/>
      <c r="T16" s="210"/>
      <c r="U16" s="210"/>
      <c r="V16" s="210"/>
      <c r="W16" s="210"/>
      <c r="X16" s="210"/>
      <c r="Y16" s="210"/>
      <c r="Z16" s="210"/>
      <c r="AA16" s="210"/>
      <c r="AB16" s="210"/>
      <c r="AC16" s="210"/>
      <c r="AD16" s="210"/>
      <c r="AE16" s="210"/>
      <c r="AF16" s="210"/>
      <c r="AG16" s="210"/>
      <c r="AH16" s="210"/>
      <c r="AI16" s="210"/>
      <c r="AJ16" s="210"/>
    </row>
    <row r="17" spans="1:36">
      <c r="A17" s="210" t="s">
        <v>1493</v>
      </c>
      <c r="B17" s="210" t="s">
        <v>1494</v>
      </c>
      <c r="C17" s="210">
        <v>201.97399999999999</v>
      </c>
      <c r="D17" s="210">
        <v>764.55489999999998</v>
      </c>
      <c r="E17" s="210"/>
      <c r="F17" s="210"/>
      <c r="G17" s="210">
        <v>27</v>
      </c>
      <c r="H17" s="210"/>
      <c r="I17" s="210">
        <v>1</v>
      </c>
      <c r="J17" s="210">
        <v>0.76455499999999998</v>
      </c>
      <c r="K17" s="210">
        <v>764554.9</v>
      </c>
      <c r="L17" s="210"/>
      <c r="M17" s="210"/>
      <c r="N17" s="210"/>
      <c r="O17" s="210"/>
      <c r="P17" s="210"/>
      <c r="Q17" s="210"/>
      <c r="R17" s="210"/>
      <c r="S17" s="210"/>
      <c r="T17" s="210"/>
      <c r="U17" s="210"/>
      <c r="V17" s="210"/>
      <c r="W17" s="210"/>
      <c r="X17" s="210"/>
      <c r="Y17" s="210"/>
      <c r="Z17" s="210"/>
      <c r="AA17" s="210"/>
      <c r="AB17" s="210"/>
      <c r="AC17" s="210"/>
      <c r="AD17" s="210"/>
      <c r="AE17" s="210"/>
      <c r="AF17" s="210"/>
      <c r="AG17" s="210"/>
      <c r="AH17" s="210"/>
      <c r="AI17" s="210"/>
      <c r="AJ17" s="210"/>
    </row>
    <row r="18" spans="1:36">
      <c r="A18" s="210" t="s">
        <v>1488</v>
      </c>
      <c r="B18" s="210" t="s">
        <v>1497</v>
      </c>
      <c r="C18" s="210">
        <v>264.17205200000001</v>
      </c>
      <c r="D18" s="210">
        <v>1000</v>
      </c>
      <c r="E18" s="210">
        <v>6.2898107699999999</v>
      </c>
      <c r="F18" s="210">
        <v>35.314666699999997</v>
      </c>
      <c r="G18" s="210">
        <v>35.314666699999997</v>
      </c>
      <c r="H18" s="210"/>
      <c r="I18" s="210">
        <v>1.3079510000000001</v>
      </c>
      <c r="J18" s="210">
        <v>1</v>
      </c>
      <c r="K18" s="210">
        <v>1000000</v>
      </c>
      <c r="L18" s="210"/>
      <c r="M18" s="210"/>
      <c r="N18" s="210"/>
      <c r="O18" s="210"/>
      <c r="P18" s="210"/>
      <c r="Q18" s="210"/>
      <c r="R18" s="210"/>
      <c r="S18" s="210"/>
      <c r="T18" s="210"/>
      <c r="U18" s="210"/>
      <c r="V18" s="210"/>
      <c r="W18" s="210"/>
      <c r="X18" s="210"/>
      <c r="Y18" s="210"/>
      <c r="Z18" s="210"/>
      <c r="AA18" s="210"/>
      <c r="AB18" s="210"/>
      <c r="AC18" s="210"/>
      <c r="AD18" s="210"/>
      <c r="AE18" s="210"/>
      <c r="AF18" s="210"/>
      <c r="AG18" s="210"/>
      <c r="AH18" s="210"/>
      <c r="AI18" s="210"/>
      <c r="AJ18" s="210"/>
    </row>
    <row r="19" spans="1:36">
      <c r="A19" s="210" t="s">
        <v>1500</v>
      </c>
      <c r="B19" s="210" t="s">
        <v>1501</v>
      </c>
      <c r="C19" s="210">
        <v>2.6417200000000002E-4</v>
      </c>
      <c r="D19" s="210"/>
      <c r="E19" s="210"/>
      <c r="F19" s="210"/>
      <c r="G19" s="210"/>
      <c r="H19" s="210"/>
      <c r="I19" s="211">
        <v>1.31E-6</v>
      </c>
      <c r="J19" s="210">
        <v>9.9999999999999995E-7</v>
      </c>
      <c r="K19" s="210">
        <v>1</v>
      </c>
      <c r="L19" s="210"/>
      <c r="M19" s="210"/>
      <c r="N19" s="210"/>
      <c r="O19" s="210"/>
      <c r="P19" s="210"/>
      <c r="Q19" s="210"/>
      <c r="R19" s="210"/>
      <c r="S19" s="210"/>
      <c r="T19" s="210"/>
      <c r="U19" s="210"/>
      <c r="V19" s="210"/>
      <c r="W19" s="210"/>
      <c r="X19" s="210"/>
      <c r="Y19" s="210"/>
      <c r="Z19" s="210"/>
      <c r="AA19" s="210"/>
      <c r="AB19" s="210"/>
      <c r="AC19" s="210"/>
      <c r="AD19" s="210"/>
      <c r="AE19" s="210"/>
      <c r="AF19" s="210"/>
      <c r="AG19" s="210"/>
      <c r="AH19" s="210"/>
      <c r="AI19" s="210"/>
      <c r="AJ19" s="210"/>
    </row>
    <row r="20" spans="1:36">
      <c r="A20" s="210" t="s">
        <v>1503</v>
      </c>
      <c r="B20" s="210" t="s">
        <v>1504</v>
      </c>
      <c r="C20" s="210"/>
      <c r="D20" s="210"/>
      <c r="E20" s="210"/>
      <c r="F20" s="210"/>
      <c r="G20" s="210"/>
      <c r="H20" s="210"/>
      <c r="I20" s="210"/>
      <c r="J20" s="210"/>
      <c r="K20" s="210"/>
      <c r="L20" s="210">
        <v>1</v>
      </c>
      <c r="M20" s="210">
        <v>1000</v>
      </c>
      <c r="N20" s="210">
        <v>2204.6226200000001</v>
      </c>
      <c r="O20" s="210">
        <v>1.1023113099999999</v>
      </c>
      <c r="P20" s="210">
        <v>0.98420652799999997</v>
      </c>
      <c r="Q20" s="210">
        <v>1000000</v>
      </c>
      <c r="R20" s="210"/>
      <c r="S20" s="210"/>
      <c r="T20" s="210"/>
      <c r="U20" s="210"/>
      <c r="V20" s="210"/>
      <c r="W20" s="210"/>
      <c r="X20" s="210"/>
      <c r="Y20" s="210"/>
      <c r="Z20" s="210"/>
      <c r="AA20" s="210"/>
      <c r="AB20" s="210"/>
      <c r="AC20" s="210"/>
      <c r="AD20" s="210"/>
      <c r="AE20" s="210"/>
      <c r="AF20" s="210"/>
      <c r="AG20" s="210"/>
      <c r="AH20" s="210"/>
      <c r="AI20" s="210"/>
      <c r="AJ20" s="210"/>
    </row>
    <row r="21" spans="1:36">
      <c r="A21" s="210" t="s">
        <v>96</v>
      </c>
      <c r="B21" s="210" t="s">
        <v>1505</v>
      </c>
      <c r="C21" s="210"/>
      <c r="D21" s="210"/>
      <c r="E21" s="210"/>
      <c r="F21" s="210"/>
      <c r="G21" s="210"/>
      <c r="H21" s="210"/>
      <c r="I21" s="210"/>
      <c r="J21" s="210"/>
      <c r="K21" s="210"/>
      <c r="L21" s="210">
        <v>1E-3</v>
      </c>
      <c r="M21" s="210">
        <v>1</v>
      </c>
      <c r="N21" s="210">
        <v>2.2046226199999999</v>
      </c>
      <c r="O21" s="210">
        <v>1.10231131E-3</v>
      </c>
      <c r="P21" s="210">
        <v>9.842065279999999E-4</v>
      </c>
      <c r="Q21" s="210">
        <v>1000</v>
      </c>
      <c r="R21" s="210"/>
      <c r="S21" s="210"/>
      <c r="T21" s="210"/>
      <c r="U21" s="210"/>
      <c r="V21" s="210"/>
      <c r="W21" s="210"/>
      <c r="X21" s="210"/>
      <c r="Y21" s="210"/>
      <c r="Z21" s="210"/>
      <c r="AA21" s="210"/>
      <c r="AB21" s="210"/>
      <c r="AC21" s="210"/>
      <c r="AD21" s="210"/>
      <c r="AE21" s="210"/>
      <c r="AF21" s="210"/>
      <c r="AG21" s="210"/>
      <c r="AH21" s="210"/>
      <c r="AI21" s="210"/>
      <c r="AJ21" s="210"/>
    </row>
    <row r="22" spans="1:36">
      <c r="A22" s="210" t="s">
        <v>1508</v>
      </c>
      <c r="B22" s="210" t="s">
        <v>1509</v>
      </c>
      <c r="C22" s="210"/>
      <c r="D22" s="210"/>
      <c r="E22" s="210"/>
      <c r="F22" s="210"/>
      <c r="G22" s="210"/>
      <c r="H22" s="210"/>
      <c r="I22" s="210"/>
      <c r="J22" s="210"/>
      <c r="K22" s="210"/>
      <c r="L22" s="210">
        <v>4.5359236999999999E-4</v>
      </c>
      <c r="M22" s="210">
        <v>0.45359237000000002</v>
      </c>
      <c r="N22" s="210">
        <v>1</v>
      </c>
      <c r="O22" s="210">
        <v>5.0000000000000001E-4</v>
      </c>
      <c r="P22" s="210">
        <v>4.4642857100000001E-4</v>
      </c>
      <c r="Q22" s="210">
        <v>453.59237000000002</v>
      </c>
      <c r="R22" s="210"/>
      <c r="S22" s="210"/>
      <c r="T22" s="210"/>
      <c r="U22" s="210"/>
      <c r="V22" s="210"/>
      <c r="W22" s="210"/>
      <c r="X22" s="210"/>
      <c r="Y22" s="210"/>
      <c r="Z22" s="210"/>
      <c r="AA22" s="210"/>
      <c r="AB22" s="210"/>
      <c r="AC22" s="210"/>
      <c r="AD22" s="210"/>
      <c r="AE22" s="210"/>
      <c r="AF22" s="210"/>
      <c r="AG22" s="210"/>
      <c r="AH22" s="210"/>
      <c r="AI22" s="210"/>
      <c r="AJ22" s="210"/>
    </row>
    <row r="23" spans="1:36">
      <c r="A23" s="210" t="s">
        <v>1513</v>
      </c>
      <c r="B23" s="210" t="s">
        <v>1514</v>
      </c>
      <c r="C23" s="210"/>
      <c r="D23" s="210"/>
      <c r="E23" s="210"/>
      <c r="F23" s="210"/>
      <c r="G23" s="210"/>
      <c r="H23" s="210"/>
      <c r="I23" s="210"/>
      <c r="J23" s="210"/>
      <c r="K23" s="210"/>
      <c r="L23" s="210">
        <v>0.90718474000000004</v>
      </c>
      <c r="M23" s="210">
        <v>907.18474000000003</v>
      </c>
      <c r="N23" s="210">
        <v>2000</v>
      </c>
      <c r="O23" s="210">
        <v>1</v>
      </c>
      <c r="P23" s="210">
        <v>0.89285714299999996</v>
      </c>
      <c r="Q23" s="210">
        <v>907184.74</v>
      </c>
      <c r="R23" s="210"/>
      <c r="S23" s="210"/>
      <c r="T23" s="210"/>
      <c r="U23" s="210"/>
      <c r="V23" s="210"/>
      <c r="W23" s="210"/>
      <c r="X23" s="210"/>
      <c r="Y23" s="210"/>
      <c r="Z23" s="210"/>
      <c r="AA23" s="210"/>
      <c r="AB23" s="210"/>
      <c r="AC23" s="210"/>
      <c r="AD23" s="210"/>
      <c r="AE23" s="210"/>
      <c r="AF23" s="210"/>
      <c r="AG23" s="210"/>
      <c r="AH23" s="210"/>
      <c r="AI23" s="210"/>
      <c r="AJ23" s="210"/>
    </row>
    <row r="24" spans="1:36">
      <c r="A24" s="210" t="s">
        <v>774</v>
      </c>
      <c r="B24" s="210" t="s">
        <v>1517</v>
      </c>
      <c r="C24" s="210"/>
      <c r="D24" s="210"/>
      <c r="E24" s="210"/>
      <c r="F24" s="210"/>
      <c r="G24" s="210"/>
      <c r="H24" s="210"/>
      <c r="I24" s="210"/>
      <c r="J24" s="210"/>
      <c r="K24" s="210"/>
      <c r="L24" s="210">
        <v>1.01604691</v>
      </c>
      <c r="M24" s="210" t="s">
        <v>1580</v>
      </c>
      <c r="N24" s="210">
        <v>2240</v>
      </c>
      <c r="O24" s="210">
        <v>1.1200000000000001</v>
      </c>
      <c r="P24" s="210">
        <v>1</v>
      </c>
      <c r="Q24" s="210">
        <v>1016046.91</v>
      </c>
      <c r="R24" s="210"/>
      <c r="S24" s="210"/>
      <c r="T24" s="210"/>
      <c r="U24" s="210"/>
      <c r="V24" s="210"/>
      <c r="W24" s="210"/>
      <c r="X24" s="210"/>
      <c r="Y24" s="210"/>
      <c r="Z24" s="210"/>
      <c r="AA24" s="210"/>
      <c r="AB24" s="210"/>
      <c r="AC24" s="210"/>
      <c r="AD24" s="210"/>
      <c r="AE24" s="210"/>
      <c r="AF24" s="210"/>
      <c r="AG24" s="210"/>
      <c r="AH24" s="210"/>
      <c r="AI24" s="210"/>
      <c r="AJ24" s="210"/>
    </row>
    <row r="25" spans="1:36">
      <c r="A25" s="210" t="s">
        <v>1463</v>
      </c>
      <c r="B25" s="210" t="s">
        <v>1519</v>
      </c>
      <c r="C25" s="210"/>
      <c r="D25" s="210"/>
      <c r="E25" s="210"/>
      <c r="F25" s="210"/>
      <c r="G25" s="210"/>
      <c r="H25" s="210"/>
      <c r="I25" s="210"/>
      <c r="J25" s="210"/>
      <c r="K25" s="210"/>
      <c r="L25" s="210">
        <v>9.9999999999999995E-7</v>
      </c>
      <c r="M25" s="210">
        <v>1E-3</v>
      </c>
      <c r="N25" s="210">
        <f>M22*Q21</f>
        <v>453.59237000000002</v>
      </c>
      <c r="O25" s="210"/>
      <c r="P25" s="210"/>
      <c r="Q25" s="210">
        <v>1</v>
      </c>
      <c r="R25" s="210"/>
      <c r="S25" s="210"/>
      <c r="T25" s="210"/>
      <c r="U25" s="210"/>
      <c r="V25" s="210"/>
      <c r="W25" s="210"/>
      <c r="X25" s="210"/>
      <c r="Y25" s="210"/>
      <c r="Z25" s="210"/>
      <c r="AA25" s="210"/>
      <c r="AB25" s="210"/>
      <c r="AC25" s="210"/>
      <c r="AD25" s="210"/>
      <c r="AE25" s="210"/>
      <c r="AF25" s="210"/>
      <c r="AG25" s="210"/>
      <c r="AH25" s="210"/>
      <c r="AI25" s="210"/>
      <c r="AJ25" s="210"/>
    </row>
    <row r="26" spans="1:36">
      <c r="A26" s="210" t="s">
        <v>1522</v>
      </c>
      <c r="B26" s="210" t="s">
        <v>1523</v>
      </c>
      <c r="C26" s="210"/>
      <c r="D26" s="210"/>
      <c r="E26" s="210"/>
      <c r="F26" s="210"/>
      <c r="G26" s="210"/>
      <c r="H26" s="210"/>
      <c r="I26" s="210"/>
      <c r="J26" s="210"/>
      <c r="K26" s="210"/>
      <c r="L26" s="210"/>
      <c r="M26" s="210"/>
      <c r="N26" s="210"/>
      <c r="O26" s="210"/>
      <c r="P26" s="210"/>
      <c r="Q26" s="210"/>
      <c r="R26" s="210">
        <v>1</v>
      </c>
      <c r="S26" s="210">
        <v>0.86897599999999997</v>
      </c>
      <c r="T26" s="210">
        <v>1609.3440000000001</v>
      </c>
      <c r="U26" s="210">
        <v>1.6093440000000001</v>
      </c>
      <c r="V26" s="210"/>
      <c r="W26" s="210"/>
      <c r="X26" s="210"/>
      <c r="Y26" s="210"/>
      <c r="Z26" s="210"/>
      <c r="AA26" s="210"/>
      <c r="AB26" s="210"/>
      <c r="AC26" s="210"/>
      <c r="AD26" s="210"/>
      <c r="AE26" s="210"/>
      <c r="AF26" s="210"/>
      <c r="AG26" s="210"/>
      <c r="AH26" s="210"/>
      <c r="AI26" s="210"/>
      <c r="AJ26" s="210"/>
    </row>
    <row r="27" spans="1:36">
      <c r="A27" s="210" t="s">
        <v>1526</v>
      </c>
      <c r="B27" s="210" t="s">
        <v>1527</v>
      </c>
      <c r="C27" s="210"/>
      <c r="D27" s="210"/>
      <c r="E27" s="210"/>
      <c r="F27" s="210"/>
      <c r="G27" s="210"/>
      <c r="H27" s="210"/>
      <c r="I27" s="210"/>
      <c r="J27" s="210"/>
      <c r="K27" s="210"/>
      <c r="L27" s="210"/>
      <c r="M27" s="210"/>
      <c r="N27" s="210"/>
      <c r="O27" s="210"/>
      <c r="P27" s="210"/>
      <c r="Q27" s="210"/>
      <c r="R27" s="210">
        <v>1.150779</v>
      </c>
      <c r="S27" s="210">
        <v>1</v>
      </c>
      <c r="T27" s="210">
        <v>1852</v>
      </c>
      <c r="U27" s="210">
        <v>1.8520000000000001</v>
      </c>
      <c r="V27" s="210"/>
      <c r="W27" s="210"/>
      <c r="X27" s="210"/>
      <c r="Y27" s="210"/>
      <c r="Z27" s="210"/>
      <c r="AA27" s="210"/>
      <c r="AB27" s="210"/>
      <c r="AC27" s="210"/>
      <c r="AD27" s="210"/>
      <c r="AE27" s="210"/>
      <c r="AF27" s="210"/>
      <c r="AG27" s="210"/>
      <c r="AH27" s="210"/>
      <c r="AI27" s="210"/>
      <c r="AJ27" s="210"/>
    </row>
    <row r="28" spans="1:36">
      <c r="A28" s="210" t="s">
        <v>1529</v>
      </c>
      <c r="B28" s="210" t="s">
        <v>1530</v>
      </c>
      <c r="C28" s="210"/>
      <c r="D28" s="210"/>
      <c r="E28" s="210"/>
      <c r="F28" s="210"/>
      <c r="G28" s="210"/>
      <c r="H28" s="210"/>
      <c r="I28" s="210"/>
      <c r="J28" s="210"/>
      <c r="K28" s="210"/>
      <c r="L28" s="210"/>
      <c r="M28" s="210"/>
      <c r="N28" s="210"/>
      <c r="O28" s="210"/>
      <c r="P28" s="210"/>
      <c r="Q28" s="210"/>
      <c r="R28" s="210">
        <v>6.2100000000000002E-4</v>
      </c>
      <c r="S28" s="210">
        <v>5.4000000000000001E-4</v>
      </c>
      <c r="T28" s="210">
        <v>1</v>
      </c>
      <c r="U28" s="210">
        <v>1E-3</v>
      </c>
      <c r="V28" s="210"/>
      <c r="W28" s="210"/>
      <c r="X28" s="210"/>
      <c r="Y28" s="210"/>
      <c r="Z28" s="210"/>
      <c r="AA28" s="210"/>
      <c r="AB28" s="210"/>
      <c r="AC28" s="210"/>
      <c r="AD28" s="210"/>
      <c r="AE28" s="210"/>
      <c r="AF28" s="210"/>
      <c r="AG28" s="210"/>
      <c r="AH28" s="210"/>
      <c r="AI28" s="210"/>
      <c r="AJ28" s="210"/>
    </row>
    <row r="29" spans="1:36">
      <c r="A29" s="210" t="s">
        <v>384</v>
      </c>
      <c r="B29" s="210" t="s">
        <v>1531</v>
      </c>
      <c r="C29" s="210"/>
      <c r="D29" s="210"/>
      <c r="E29" s="210"/>
      <c r="F29" s="210"/>
      <c r="G29" s="210"/>
      <c r="H29" s="210"/>
      <c r="I29" s="210"/>
      <c r="J29" s="210"/>
      <c r="K29" s="210"/>
      <c r="L29" s="210"/>
      <c r="M29" s="210"/>
      <c r="N29" s="210"/>
      <c r="O29" s="210"/>
      <c r="P29" s="210"/>
      <c r="Q29" s="210"/>
      <c r="R29" s="210">
        <v>0.62137119200000002</v>
      </c>
      <c r="S29" s="210">
        <v>0.53995700000000002</v>
      </c>
      <c r="T29" s="210">
        <v>1000</v>
      </c>
      <c r="U29" s="210">
        <v>1</v>
      </c>
      <c r="V29" s="210"/>
      <c r="W29" s="210"/>
      <c r="X29" s="210"/>
      <c r="Y29" s="210"/>
      <c r="Z29" s="210"/>
      <c r="AA29" s="210"/>
      <c r="AB29" s="210"/>
      <c r="AC29" s="210"/>
      <c r="AD29" s="210"/>
      <c r="AE29" s="210"/>
      <c r="AF29" s="210"/>
      <c r="AG29" s="210"/>
      <c r="AH29" s="210"/>
      <c r="AI29" s="210"/>
      <c r="AJ29" s="210"/>
    </row>
    <row r="30" spans="1:36">
      <c r="A30" s="210" t="s">
        <v>101</v>
      </c>
      <c r="B30" s="210" t="s">
        <v>1532</v>
      </c>
      <c r="C30" s="210"/>
      <c r="D30" s="210"/>
      <c r="E30" s="210"/>
      <c r="F30" s="210"/>
      <c r="G30" s="210"/>
      <c r="H30" s="210"/>
      <c r="I30" s="210"/>
      <c r="J30" s="210"/>
      <c r="K30" s="210"/>
      <c r="L30" s="210"/>
      <c r="M30" s="210"/>
      <c r="N30" s="210"/>
      <c r="O30" s="210"/>
      <c r="P30" s="210"/>
      <c r="Q30" s="210"/>
      <c r="R30" s="210"/>
      <c r="S30" s="210"/>
      <c r="T30" s="210"/>
      <c r="U30" s="210"/>
      <c r="V30" s="210">
        <v>1</v>
      </c>
      <c r="W30" s="210">
        <v>1E-3</v>
      </c>
      <c r="X30" s="210">
        <v>9.9999999999999995E-7</v>
      </c>
      <c r="Y30" s="210">
        <v>3.4121416299999999E-2</v>
      </c>
      <c r="Z30" s="210">
        <v>3412.1416300000001</v>
      </c>
      <c r="AA30" s="210">
        <v>3.4121416300000001E-3</v>
      </c>
      <c r="AB30" s="210">
        <v>3.6</v>
      </c>
      <c r="AC30" s="210">
        <v>3.5999999999999999E-3</v>
      </c>
      <c r="AD30" s="210"/>
      <c r="AE30" s="210"/>
      <c r="AF30" s="210"/>
      <c r="AG30" s="210"/>
      <c r="AH30" s="210"/>
      <c r="AI30" s="210"/>
      <c r="AJ30" s="210"/>
    </row>
    <row r="31" spans="1:36">
      <c r="A31" s="210" t="s">
        <v>1484</v>
      </c>
      <c r="B31" s="210" t="s">
        <v>1533</v>
      </c>
      <c r="C31" s="210"/>
      <c r="D31" s="210"/>
      <c r="E31" s="210"/>
      <c r="F31" s="210"/>
      <c r="G31" s="210"/>
      <c r="H31" s="210"/>
      <c r="I31" s="210"/>
      <c r="J31" s="210"/>
      <c r="K31" s="210"/>
      <c r="L31" s="210"/>
      <c r="M31" s="210"/>
      <c r="N31" s="210"/>
      <c r="O31" s="210"/>
      <c r="P31" s="210"/>
      <c r="Q31" s="210"/>
      <c r="R31" s="210"/>
      <c r="S31" s="210"/>
      <c r="T31" s="210"/>
      <c r="U31" s="210"/>
      <c r="V31" s="210">
        <v>1000</v>
      </c>
      <c r="W31" s="210">
        <v>1</v>
      </c>
      <c r="X31" s="210">
        <v>1E-3</v>
      </c>
      <c r="Y31" s="210">
        <f>Y30*1000</f>
        <v>34.1214163</v>
      </c>
      <c r="Z31" s="210">
        <f>Z30*1000</f>
        <v>3412141.63</v>
      </c>
      <c r="AA31" s="210">
        <f t="shared" ref="AA31:AC32" si="1">AA30*1000</f>
        <v>3.4121416300000003</v>
      </c>
      <c r="AB31" s="210">
        <f t="shared" si="1"/>
        <v>3600</v>
      </c>
      <c r="AC31" s="210">
        <f t="shared" si="1"/>
        <v>3.6</v>
      </c>
      <c r="AD31" s="210"/>
      <c r="AE31" s="210"/>
      <c r="AF31" s="210"/>
      <c r="AG31" s="210"/>
      <c r="AH31" s="210"/>
      <c r="AI31" s="210"/>
      <c r="AJ31" s="210"/>
    </row>
    <row r="32" spans="1:36">
      <c r="A32" s="210" t="s">
        <v>1534</v>
      </c>
      <c r="B32" s="210" t="s">
        <v>1535</v>
      </c>
      <c r="C32" s="210"/>
      <c r="D32" s="210"/>
      <c r="E32" s="210"/>
      <c r="F32" s="210"/>
      <c r="G32" s="210"/>
      <c r="H32" s="210"/>
      <c r="I32" s="210"/>
      <c r="J32" s="210"/>
      <c r="K32" s="210"/>
      <c r="L32" s="210"/>
      <c r="M32" s="210"/>
      <c r="N32" s="210"/>
      <c r="O32" s="210"/>
      <c r="P32" s="210"/>
      <c r="Q32" s="210"/>
      <c r="R32" s="210"/>
      <c r="S32" s="210"/>
      <c r="T32" s="210"/>
      <c r="U32" s="210"/>
      <c r="V32" s="210">
        <v>1000000</v>
      </c>
      <c r="W32" s="210">
        <v>1000</v>
      </c>
      <c r="X32" s="210">
        <v>1</v>
      </c>
      <c r="Y32" s="210">
        <f>Y31*1000</f>
        <v>34121.416299999997</v>
      </c>
      <c r="Z32" s="210">
        <f>Z31*1000</f>
        <v>3412141630</v>
      </c>
      <c r="AA32" s="210">
        <f t="shared" si="1"/>
        <v>3412.1416300000001</v>
      </c>
      <c r="AB32" s="210">
        <f t="shared" si="1"/>
        <v>3600000</v>
      </c>
      <c r="AC32" s="210">
        <f t="shared" si="1"/>
        <v>3600</v>
      </c>
      <c r="AD32" s="210"/>
      <c r="AE32" s="210"/>
      <c r="AF32" s="210"/>
      <c r="AG32" s="210"/>
      <c r="AH32" s="210"/>
      <c r="AI32" s="210"/>
      <c r="AJ32" s="210"/>
    </row>
    <row r="33" spans="1:39">
      <c r="A33" s="210" t="s">
        <v>1479</v>
      </c>
      <c r="B33" s="210" t="s">
        <v>1496</v>
      </c>
      <c r="C33" s="210"/>
      <c r="D33" s="210"/>
      <c r="E33" s="210"/>
      <c r="F33" s="210"/>
      <c r="G33" s="210"/>
      <c r="H33" s="210"/>
      <c r="I33" s="210"/>
      <c r="J33" s="210"/>
      <c r="K33" s="210"/>
      <c r="L33" s="210"/>
      <c r="M33" s="210"/>
      <c r="N33" s="210"/>
      <c r="O33" s="210"/>
      <c r="P33" s="210"/>
      <c r="Q33" s="210"/>
      <c r="R33" s="210"/>
      <c r="S33" s="210"/>
      <c r="T33" s="210"/>
      <c r="U33" s="210"/>
      <c r="V33" s="210">
        <v>29.307106999999998</v>
      </c>
      <c r="W33" s="210">
        <v>2.9307106999999999E-2</v>
      </c>
      <c r="X33" s="210">
        <v>2.9307106999999998E-5</v>
      </c>
      <c r="Y33" s="210">
        <v>1</v>
      </c>
      <c r="Z33" s="210">
        <v>100000</v>
      </c>
      <c r="AA33" s="210">
        <f>Z33/1000000</f>
        <v>0.1</v>
      </c>
      <c r="AB33" s="210">
        <v>105.505585</v>
      </c>
      <c r="AC33" s="210">
        <v>0.105505585</v>
      </c>
      <c r="AD33" s="210"/>
      <c r="AE33" s="210"/>
      <c r="AF33" s="210"/>
      <c r="AG33" s="210"/>
      <c r="AH33" s="210"/>
      <c r="AI33" s="210"/>
      <c r="AJ33" s="210"/>
    </row>
    <row r="34" spans="1:39">
      <c r="A34" s="210" t="s">
        <v>1536</v>
      </c>
      <c r="B34" s="210" t="s">
        <v>1536</v>
      </c>
      <c r="C34" s="210"/>
      <c r="D34" s="210"/>
      <c r="E34" s="210"/>
      <c r="F34" s="210"/>
      <c r="G34" s="210"/>
      <c r="H34" s="210"/>
      <c r="I34" s="210"/>
      <c r="J34" s="210"/>
      <c r="K34" s="210"/>
      <c r="L34" s="210"/>
      <c r="M34" s="210"/>
      <c r="N34" s="210"/>
      <c r="O34" s="210"/>
      <c r="P34" s="210"/>
      <c r="Q34" s="210"/>
      <c r="R34" s="210"/>
      <c r="S34" s="210"/>
      <c r="T34" s="210"/>
      <c r="U34" s="210"/>
      <c r="V34" s="210">
        <v>2.9307106999999999E-4</v>
      </c>
      <c r="W34" s="210">
        <v>2.9307106999999998E-7</v>
      </c>
      <c r="X34" s="210">
        <v>2.9307106999999996E-10</v>
      </c>
      <c r="Y34" s="210">
        <v>1.0000000000000001E-5</v>
      </c>
      <c r="Z34" s="210">
        <v>1</v>
      </c>
      <c r="AA34" s="210">
        <f>Z34/1000000</f>
        <v>9.9999999999999995E-7</v>
      </c>
      <c r="AB34" s="210">
        <v>1.0550558499999999E-3</v>
      </c>
      <c r="AC34" s="210">
        <v>1.05505585E-6</v>
      </c>
      <c r="AD34" s="210"/>
      <c r="AE34" s="210"/>
      <c r="AF34" s="210"/>
      <c r="AG34" s="210"/>
      <c r="AH34" s="210"/>
      <c r="AI34" s="210"/>
      <c r="AJ34" s="210"/>
    </row>
    <row r="35" spans="1:39">
      <c r="A35" s="210" t="s">
        <v>1537</v>
      </c>
      <c r="B35" s="210" t="s">
        <v>1537</v>
      </c>
      <c r="C35" s="210"/>
      <c r="D35" s="210"/>
      <c r="E35" s="210"/>
      <c r="F35" s="210"/>
      <c r="G35" s="210"/>
      <c r="H35" s="210"/>
      <c r="I35" s="210"/>
      <c r="J35" s="210"/>
      <c r="K35" s="210"/>
      <c r="L35" s="210"/>
      <c r="M35" s="210"/>
      <c r="N35" s="210"/>
      <c r="O35" s="210"/>
      <c r="P35" s="210"/>
      <c r="Q35" s="210"/>
      <c r="R35" s="210"/>
      <c r="S35" s="210"/>
      <c r="T35" s="210"/>
      <c r="U35" s="210"/>
      <c r="V35" s="210">
        <f t="shared" ref="V35:AC35" si="2">V34*1000000</f>
        <v>293.07106999999996</v>
      </c>
      <c r="W35" s="210">
        <f t="shared" si="2"/>
        <v>0.29307106999999999</v>
      </c>
      <c r="X35" s="210">
        <f t="shared" si="2"/>
        <v>2.9307106999999994E-4</v>
      </c>
      <c r="Y35" s="210">
        <f t="shared" si="2"/>
        <v>10</v>
      </c>
      <c r="Z35" s="210">
        <f t="shared" si="2"/>
        <v>1000000</v>
      </c>
      <c r="AA35" s="210">
        <f t="shared" si="2"/>
        <v>1</v>
      </c>
      <c r="AB35" s="210">
        <f t="shared" si="2"/>
        <v>1055.05585</v>
      </c>
      <c r="AC35" s="210">
        <f t="shared" si="2"/>
        <v>1.05505585</v>
      </c>
      <c r="AD35" s="210"/>
      <c r="AE35" s="210"/>
      <c r="AF35" s="210"/>
      <c r="AG35" s="210"/>
      <c r="AH35" s="210"/>
      <c r="AI35" s="210"/>
      <c r="AJ35" s="210"/>
    </row>
    <row r="36" spans="1:39">
      <c r="A36" s="210" t="s">
        <v>1472</v>
      </c>
      <c r="B36" s="210" t="s">
        <v>1538</v>
      </c>
      <c r="C36" s="210"/>
      <c r="D36" s="210"/>
      <c r="E36" s="210"/>
      <c r="F36" s="210"/>
      <c r="G36" s="210"/>
      <c r="H36" s="210"/>
      <c r="I36" s="210"/>
      <c r="J36" s="210"/>
      <c r="K36" s="210"/>
      <c r="L36" s="210"/>
      <c r="M36" s="210"/>
      <c r="N36" s="210"/>
      <c r="O36" s="210"/>
      <c r="P36" s="210"/>
      <c r="Q36" s="210"/>
      <c r="R36" s="210"/>
      <c r="S36" s="210"/>
      <c r="T36" s="210"/>
      <c r="U36" s="210"/>
      <c r="V36" s="210">
        <v>0.27777777799999998</v>
      </c>
      <c r="W36" s="210">
        <v>2.7777777799999997E-4</v>
      </c>
      <c r="X36" s="210">
        <v>2.7777777799999998E-7</v>
      </c>
      <c r="Y36" s="210">
        <v>9.4781711999999997E-3</v>
      </c>
      <c r="Z36" s="210">
        <v>947.81712000000005</v>
      </c>
      <c r="AA36" s="210">
        <f>Z36/1000000</f>
        <v>9.4781712000000006E-4</v>
      </c>
      <c r="AB36" s="210">
        <v>1</v>
      </c>
      <c r="AC36" s="210">
        <v>1E-3</v>
      </c>
      <c r="AD36" s="210"/>
      <c r="AE36" s="210"/>
      <c r="AF36" s="210"/>
      <c r="AG36" s="210"/>
      <c r="AH36" s="210"/>
      <c r="AI36" s="210"/>
      <c r="AJ36" s="210"/>
    </row>
    <row r="37" spans="1:39">
      <c r="A37" s="210" t="s">
        <v>1465</v>
      </c>
      <c r="B37" s="210" t="s">
        <v>1540</v>
      </c>
      <c r="C37" s="210"/>
      <c r="D37" s="210"/>
      <c r="E37" s="210"/>
      <c r="F37" s="210"/>
      <c r="G37" s="210"/>
      <c r="H37" s="210"/>
      <c r="I37" s="210"/>
      <c r="J37" s="210"/>
      <c r="K37" s="210"/>
      <c r="L37" s="210"/>
      <c r="M37" s="210"/>
      <c r="N37" s="210"/>
      <c r="O37" s="210"/>
      <c r="P37" s="210"/>
      <c r="Q37" s="210"/>
      <c r="R37" s="210"/>
      <c r="S37" s="210"/>
      <c r="T37" s="210"/>
      <c r="U37" s="210"/>
      <c r="V37" s="210">
        <v>277.77777800000001</v>
      </c>
      <c r="W37" s="210">
        <v>0.27777777800000003</v>
      </c>
      <c r="X37" s="210">
        <v>2.7777777800000003E-4</v>
      </c>
      <c r="Y37" s="210">
        <v>9.4781712000000002</v>
      </c>
      <c r="Z37" s="210">
        <v>947817.12</v>
      </c>
      <c r="AA37" s="210">
        <f>Z37/1000000</f>
        <v>0.94781711999999996</v>
      </c>
      <c r="AB37" s="210">
        <v>1000</v>
      </c>
      <c r="AC37" s="210">
        <v>1</v>
      </c>
      <c r="AD37" s="210"/>
      <c r="AE37" s="210"/>
      <c r="AF37" s="210"/>
      <c r="AG37" s="210"/>
      <c r="AH37" s="210"/>
      <c r="AI37" s="210"/>
      <c r="AJ37" s="210"/>
    </row>
    <row r="38" spans="1:39">
      <c r="A38" s="210" t="s">
        <v>1542</v>
      </c>
      <c r="B38" s="210" t="s">
        <v>1543</v>
      </c>
      <c r="C38" s="210"/>
      <c r="D38" s="210"/>
      <c r="E38" s="210"/>
      <c r="F38" s="210"/>
      <c r="G38" s="210"/>
      <c r="H38" s="210"/>
      <c r="I38" s="210"/>
      <c r="J38" s="210"/>
      <c r="K38" s="210"/>
      <c r="L38" s="210"/>
      <c r="M38" s="210"/>
      <c r="N38" s="210"/>
      <c r="O38" s="210"/>
      <c r="P38" s="210"/>
      <c r="Q38" s="210"/>
      <c r="R38" s="210"/>
      <c r="S38" s="210"/>
      <c r="T38" s="210"/>
      <c r="U38" s="210"/>
      <c r="V38" s="210"/>
      <c r="W38" s="210"/>
      <c r="X38" s="210"/>
      <c r="Y38" s="210"/>
      <c r="Z38" s="210"/>
      <c r="AA38" s="210"/>
      <c r="AB38" s="210"/>
      <c r="AC38" s="210"/>
      <c r="AD38" s="210">
        <v>1</v>
      </c>
      <c r="AE38" s="210">
        <v>1.1023113099999999</v>
      </c>
      <c r="AF38" s="210">
        <v>1.7739980900000001</v>
      </c>
      <c r="AG38" s="210">
        <v>1.6093440000000001</v>
      </c>
      <c r="AH38" s="210"/>
      <c r="AI38" s="210"/>
      <c r="AJ38" s="210"/>
    </row>
    <row r="39" spans="1:39">
      <c r="A39" s="210" t="s">
        <v>1544</v>
      </c>
      <c r="B39" s="210" t="s">
        <v>1545</v>
      </c>
      <c r="C39" s="210"/>
      <c r="D39" s="210"/>
      <c r="E39" s="210"/>
      <c r="F39" s="210"/>
      <c r="G39" s="210"/>
      <c r="H39" s="210"/>
      <c r="I39" s="210"/>
      <c r="J39" s="210"/>
      <c r="K39" s="210"/>
      <c r="L39" s="210"/>
      <c r="M39" s="210"/>
      <c r="N39" s="210"/>
      <c r="O39" s="210"/>
      <c r="P39" s="210"/>
      <c r="Q39" s="210"/>
      <c r="R39" s="210"/>
      <c r="S39" s="210"/>
      <c r="T39" s="210"/>
      <c r="U39" s="210"/>
      <c r="V39" s="210"/>
      <c r="W39" s="210"/>
      <c r="X39" s="210"/>
      <c r="Y39" s="210"/>
      <c r="Z39" s="210"/>
      <c r="AA39" s="210"/>
      <c r="AB39" s="210"/>
      <c r="AC39" s="210"/>
      <c r="AD39" s="210">
        <v>0.90718474076075661</v>
      </c>
      <c r="AE39" s="210">
        <v>1</v>
      </c>
      <c r="AF39" s="210">
        <v>1.6093440006146924</v>
      </c>
      <c r="AG39" s="210">
        <v>1.4599723194348793</v>
      </c>
      <c r="AH39" s="210"/>
      <c r="AI39" s="210"/>
      <c r="AJ39" s="210"/>
    </row>
    <row r="40" spans="1:39">
      <c r="A40" s="210" t="s">
        <v>1546</v>
      </c>
      <c r="B40" s="210" t="s">
        <v>1547</v>
      </c>
      <c r="C40" s="210"/>
      <c r="D40" s="210"/>
      <c r="E40" s="210"/>
      <c r="F40" s="210"/>
      <c r="G40" s="210"/>
      <c r="H40" s="210"/>
      <c r="I40" s="210"/>
      <c r="J40" s="210"/>
      <c r="K40" s="210"/>
      <c r="L40" s="210"/>
      <c r="M40" s="210"/>
      <c r="N40" s="210"/>
      <c r="O40" s="210"/>
      <c r="P40" s="210"/>
      <c r="Q40" s="210"/>
      <c r="R40" s="210"/>
      <c r="S40" s="210"/>
      <c r="T40" s="210"/>
      <c r="U40" s="210"/>
      <c r="V40" s="210"/>
      <c r="W40" s="210"/>
      <c r="X40" s="210"/>
      <c r="Y40" s="210"/>
      <c r="Z40" s="210"/>
      <c r="AA40" s="210"/>
      <c r="AB40" s="210"/>
      <c r="AC40" s="210"/>
      <c r="AD40" s="210">
        <v>0.5636984637307223</v>
      </c>
      <c r="AE40" s="210">
        <v>0.62137119199999991</v>
      </c>
      <c r="AF40" s="210">
        <v>1</v>
      </c>
      <c r="AG40" s="210">
        <v>0.90718474000000004</v>
      </c>
      <c r="AH40" s="210"/>
      <c r="AI40" s="210"/>
      <c r="AJ40" s="210"/>
    </row>
    <row r="41" spans="1:39">
      <c r="A41" s="210" t="s">
        <v>1549</v>
      </c>
      <c r="B41" s="210" t="s">
        <v>1550</v>
      </c>
      <c r="C41" s="210"/>
      <c r="D41" s="210"/>
      <c r="E41" s="210"/>
      <c r="F41" s="210"/>
      <c r="G41" s="210"/>
      <c r="H41" s="210"/>
      <c r="I41" s="210"/>
      <c r="J41" s="210"/>
      <c r="K41" s="210"/>
      <c r="L41" s="210"/>
      <c r="M41" s="210"/>
      <c r="N41" s="210"/>
      <c r="O41" s="210"/>
      <c r="P41" s="210"/>
      <c r="Q41" s="210"/>
      <c r="R41" s="210"/>
      <c r="S41" s="210"/>
      <c r="T41" s="210"/>
      <c r="U41" s="210"/>
      <c r="V41" s="210"/>
      <c r="W41" s="210"/>
      <c r="X41" s="210"/>
      <c r="Y41" s="210"/>
      <c r="Z41" s="210"/>
      <c r="AA41" s="210"/>
      <c r="AB41" s="210"/>
      <c r="AC41" s="210"/>
      <c r="AD41" s="210">
        <v>0.62137119200000002</v>
      </c>
      <c r="AE41" s="210">
        <v>0.68494449264978152</v>
      </c>
      <c r="AF41" s="210">
        <v>1.1023113099999999</v>
      </c>
      <c r="AG41" s="210">
        <v>1</v>
      </c>
      <c r="AH41" s="210"/>
      <c r="AI41" s="210"/>
      <c r="AJ41" s="210"/>
    </row>
    <row r="42" spans="1:39">
      <c r="A42" s="210" t="s">
        <v>1551</v>
      </c>
      <c r="B42" s="210" t="s">
        <v>1552</v>
      </c>
      <c r="C42" s="210"/>
      <c r="D42" s="210"/>
      <c r="E42" s="210"/>
      <c r="F42" s="210"/>
      <c r="G42" s="210"/>
      <c r="H42" s="210"/>
      <c r="I42" s="210"/>
      <c r="J42" s="210"/>
      <c r="K42" s="210"/>
      <c r="L42" s="210"/>
      <c r="M42" s="210"/>
      <c r="N42" s="210"/>
      <c r="O42" s="210"/>
      <c r="P42" s="210"/>
      <c r="Q42" s="210"/>
      <c r="R42" s="210"/>
      <c r="S42" s="210"/>
      <c r="T42" s="210"/>
      <c r="U42" s="210"/>
      <c r="V42" s="210"/>
      <c r="W42" s="210"/>
      <c r="X42" s="210"/>
      <c r="Y42" s="210"/>
      <c r="Z42" s="210"/>
      <c r="AA42" s="210"/>
      <c r="AB42" s="210"/>
      <c r="AC42" s="210"/>
      <c r="AD42" s="210"/>
      <c r="AE42" s="210"/>
      <c r="AF42" s="210"/>
      <c r="AG42" s="210"/>
      <c r="AH42" s="210">
        <v>1</v>
      </c>
      <c r="AI42" s="210"/>
      <c r="AJ42" s="210"/>
    </row>
    <row r="43" spans="1:39">
      <c r="A43" s="210" t="s">
        <v>1553</v>
      </c>
      <c r="B43" s="210" t="s">
        <v>1554</v>
      </c>
      <c r="C43" s="210"/>
      <c r="D43" s="210"/>
      <c r="E43" s="210"/>
      <c r="F43" s="210"/>
      <c r="G43" s="210"/>
      <c r="H43" s="210"/>
      <c r="I43" s="210"/>
      <c r="J43" s="210"/>
      <c r="K43" s="210"/>
      <c r="L43" s="210"/>
      <c r="M43" s="210"/>
      <c r="N43" s="210"/>
      <c r="O43" s="210"/>
      <c r="P43" s="210"/>
      <c r="Q43" s="210"/>
      <c r="R43" s="210"/>
      <c r="S43" s="210"/>
      <c r="T43" s="210"/>
      <c r="U43" s="210"/>
      <c r="V43" s="210"/>
      <c r="W43" s="210"/>
      <c r="X43" s="210"/>
      <c r="Y43" s="210"/>
      <c r="Z43" s="210"/>
      <c r="AA43" s="210"/>
      <c r="AB43" s="210"/>
      <c r="AC43" s="210"/>
      <c r="AD43" s="210"/>
      <c r="AE43" s="210"/>
      <c r="AF43" s="210"/>
      <c r="AG43" s="210"/>
      <c r="AH43" s="210"/>
      <c r="AI43" s="210">
        <v>1</v>
      </c>
      <c r="AJ43" s="210">
        <v>2.35214583</v>
      </c>
    </row>
    <row r="44" spans="1:39">
      <c r="A44" s="210" t="s">
        <v>1555</v>
      </c>
      <c r="B44" s="210" t="s">
        <v>1556</v>
      </c>
      <c r="C44" s="210"/>
      <c r="D44" s="210"/>
      <c r="E44" s="210"/>
      <c r="F44" s="210"/>
      <c r="G44" s="210"/>
      <c r="H44" s="210"/>
      <c r="I44" s="210"/>
      <c r="J44" s="210"/>
      <c r="K44" s="210"/>
      <c r="L44" s="210"/>
      <c r="M44" s="210"/>
      <c r="N44" s="210"/>
      <c r="O44" s="210"/>
      <c r="P44" s="210"/>
      <c r="Q44" s="210"/>
      <c r="R44" s="210"/>
      <c r="S44" s="210"/>
      <c r="T44" s="210"/>
      <c r="U44" s="210"/>
      <c r="V44" s="210"/>
      <c r="W44" s="210"/>
      <c r="X44" s="210"/>
      <c r="Y44" s="210"/>
      <c r="Z44" s="210"/>
      <c r="AA44" s="210"/>
      <c r="AB44" s="210"/>
      <c r="AC44" s="210"/>
      <c r="AD44" s="210"/>
      <c r="AE44" s="210"/>
      <c r="AF44" s="210"/>
      <c r="AG44" s="210"/>
      <c r="AH44" s="210"/>
      <c r="AI44" s="210">
        <v>2.35214583</v>
      </c>
      <c r="AJ44" s="210">
        <v>1</v>
      </c>
    </row>
    <row r="45" spans="1:39">
      <c r="A45" t="s">
        <v>1557</v>
      </c>
      <c r="B45" t="s">
        <v>1558</v>
      </c>
      <c r="AK45">
        <v>1</v>
      </c>
      <c r="AL45">
        <f>1/AK46</f>
        <v>2.295684113865932E-5</v>
      </c>
      <c r="AM45">
        <f>1/AK47</f>
        <v>9.2903040000083915E-6</v>
      </c>
    </row>
    <row r="46" spans="1:39">
      <c r="A46" t="s">
        <v>1559</v>
      </c>
      <c r="B46" t="s">
        <v>1560</v>
      </c>
      <c r="AK46">
        <v>43560</v>
      </c>
      <c r="AL46">
        <v>1</v>
      </c>
      <c r="AM46">
        <v>0.4046863</v>
      </c>
    </row>
    <row r="47" spans="1:39">
      <c r="A47" t="s">
        <v>1561</v>
      </c>
      <c r="B47" t="s">
        <v>1562</v>
      </c>
      <c r="AK47">
        <v>107639.104167</v>
      </c>
      <c r="AL47">
        <v>2.471044</v>
      </c>
      <c r="AM47">
        <v>1</v>
      </c>
    </row>
    <row r="50" spans="2:6">
      <c r="B50" t="s">
        <v>1581</v>
      </c>
    </row>
    <row r="51" spans="2:6">
      <c r="C51" t="s">
        <v>1582</v>
      </c>
    </row>
    <row r="52" spans="2:6">
      <c r="C52">
        <v>2</v>
      </c>
      <c r="D52">
        <v>3</v>
      </c>
      <c r="E52">
        <v>4</v>
      </c>
      <c r="F52">
        <v>5</v>
      </c>
    </row>
    <row r="53" spans="2:6">
      <c r="B53" t="s">
        <v>1583</v>
      </c>
    </row>
    <row r="54" spans="2:6">
      <c r="B54" t="s">
        <v>466</v>
      </c>
      <c r="C54" t="s">
        <v>1584</v>
      </c>
      <c r="D54" t="s">
        <v>1585</v>
      </c>
      <c r="E54" t="s">
        <v>1586</v>
      </c>
      <c r="F54" t="s">
        <v>111</v>
      </c>
    </row>
    <row r="55" spans="2:6">
      <c r="B55" t="s">
        <v>1587</v>
      </c>
      <c r="C55" t="s">
        <v>1508</v>
      </c>
      <c r="D55" t="s">
        <v>1463</v>
      </c>
      <c r="E55">
        <v>453.59237000000002</v>
      </c>
      <c r="F55" t="s">
        <v>1588</v>
      </c>
    </row>
    <row r="56" spans="2:6">
      <c r="B56" t="s">
        <v>1589</v>
      </c>
      <c r="C56" t="s">
        <v>1508</v>
      </c>
      <c r="D56" t="s">
        <v>96</v>
      </c>
      <c r="E56">
        <v>0.45359237000000002</v>
      </c>
      <c r="F56" t="s">
        <v>1590</v>
      </c>
    </row>
    <row r="57" spans="2:6">
      <c r="B57" t="s">
        <v>1591</v>
      </c>
      <c r="C57" t="s">
        <v>1508</v>
      </c>
      <c r="D57" t="s">
        <v>1592</v>
      </c>
      <c r="E57">
        <v>4.5359236999999999E-4</v>
      </c>
      <c r="F57" t="s">
        <v>1593</v>
      </c>
    </row>
    <row r="58" spans="2:6">
      <c r="B58" t="s">
        <v>1594</v>
      </c>
      <c r="C58" t="s">
        <v>96</v>
      </c>
      <c r="D58" t="s">
        <v>1508</v>
      </c>
      <c r="E58">
        <v>2.2046226199999999</v>
      </c>
      <c r="F58" t="s">
        <v>1595</v>
      </c>
    </row>
    <row r="59" spans="2:6">
      <c r="B59" t="s">
        <v>1596</v>
      </c>
      <c r="C59" t="s">
        <v>96</v>
      </c>
      <c r="D59" t="s">
        <v>1592</v>
      </c>
      <c r="E59">
        <v>1E-3</v>
      </c>
      <c r="F59" t="s">
        <v>1597</v>
      </c>
    </row>
    <row r="60" spans="2:6">
      <c r="B60" t="s">
        <v>1598</v>
      </c>
      <c r="C60" t="s">
        <v>1599</v>
      </c>
      <c r="D60" t="s">
        <v>1508</v>
      </c>
      <c r="E60">
        <v>2000</v>
      </c>
      <c r="F60" t="s">
        <v>1600</v>
      </c>
    </row>
    <row r="61" spans="2:6">
      <c r="B61" t="s">
        <v>1601</v>
      </c>
      <c r="C61" t="s">
        <v>1599</v>
      </c>
      <c r="D61" t="s">
        <v>96</v>
      </c>
      <c r="E61">
        <v>907.18474000000003</v>
      </c>
      <c r="F61" t="s">
        <v>1602</v>
      </c>
    </row>
    <row r="62" spans="2:6">
      <c r="B62" t="s">
        <v>1603</v>
      </c>
      <c r="C62" t="s">
        <v>1592</v>
      </c>
      <c r="D62" t="s">
        <v>1508</v>
      </c>
      <c r="E62">
        <v>2204.6226200000001</v>
      </c>
      <c r="F62" t="s">
        <v>1604</v>
      </c>
    </row>
    <row r="63" spans="2:6">
      <c r="B63" t="s">
        <v>1605</v>
      </c>
      <c r="C63" t="s">
        <v>1592</v>
      </c>
      <c r="D63" t="s">
        <v>96</v>
      </c>
      <c r="E63">
        <v>1000</v>
      </c>
      <c r="F63" t="s">
        <v>1606</v>
      </c>
    </row>
    <row r="64" spans="2:6">
      <c r="B64" t="s">
        <v>1607</v>
      </c>
      <c r="C64" t="s">
        <v>1592</v>
      </c>
      <c r="D64" t="s">
        <v>1599</v>
      </c>
      <c r="E64">
        <v>1.1023113099999999</v>
      </c>
      <c r="F64" t="s">
        <v>1608</v>
      </c>
    </row>
    <row r="66" spans="2:6">
      <c r="B66" t="s">
        <v>1609</v>
      </c>
    </row>
    <row r="67" spans="2:6">
      <c r="B67" t="s">
        <v>466</v>
      </c>
      <c r="C67" t="s">
        <v>1584</v>
      </c>
      <c r="D67" t="s">
        <v>1585</v>
      </c>
      <c r="E67" t="s">
        <v>1586</v>
      </c>
      <c r="F67" t="s">
        <v>111</v>
      </c>
    </row>
    <row r="68" spans="2:6">
      <c r="B68" t="s">
        <v>1610</v>
      </c>
      <c r="C68" t="s">
        <v>197</v>
      </c>
      <c r="D68" t="s">
        <v>102</v>
      </c>
      <c r="E68">
        <v>7.4805194799999999</v>
      </c>
      <c r="F68" t="s">
        <v>1611</v>
      </c>
    </row>
    <row r="69" spans="2:6">
      <c r="B69" t="s">
        <v>1612</v>
      </c>
      <c r="C69" t="s">
        <v>197</v>
      </c>
      <c r="D69" t="s">
        <v>1476</v>
      </c>
      <c r="E69">
        <v>0.178107607</v>
      </c>
      <c r="F69" t="s">
        <v>1613</v>
      </c>
    </row>
    <row r="70" spans="2:6">
      <c r="B70" t="s">
        <v>1614</v>
      </c>
      <c r="C70" t="s">
        <v>197</v>
      </c>
      <c r="D70" t="s">
        <v>1237</v>
      </c>
      <c r="E70">
        <v>28.316846600000002</v>
      </c>
      <c r="F70" t="s">
        <v>1615</v>
      </c>
    </row>
    <row r="71" spans="2:6">
      <c r="B71" t="s">
        <v>1616</v>
      </c>
      <c r="C71" t="s">
        <v>197</v>
      </c>
      <c r="D71" t="s">
        <v>1488</v>
      </c>
      <c r="E71">
        <v>2.8316846600000001E-2</v>
      </c>
      <c r="F71" t="s">
        <v>1617</v>
      </c>
    </row>
    <row r="72" spans="2:6">
      <c r="B72" t="s">
        <v>1618</v>
      </c>
      <c r="C72" t="s">
        <v>102</v>
      </c>
      <c r="D72" t="s">
        <v>1476</v>
      </c>
      <c r="E72">
        <v>2.3800000000000002E-2</v>
      </c>
      <c r="F72" t="s">
        <v>1619</v>
      </c>
    </row>
    <row r="73" spans="2:6">
      <c r="B73" t="s">
        <v>1620</v>
      </c>
      <c r="C73" t="s">
        <v>102</v>
      </c>
      <c r="D73" t="s">
        <v>1237</v>
      </c>
      <c r="E73">
        <v>3.78541178</v>
      </c>
      <c r="F73" t="s">
        <v>1621</v>
      </c>
    </row>
    <row r="74" spans="2:6">
      <c r="B74" t="s">
        <v>1622</v>
      </c>
      <c r="C74" t="s">
        <v>102</v>
      </c>
      <c r="D74" t="s">
        <v>1488</v>
      </c>
      <c r="E74">
        <v>3.7854117800000002E-3</v>
      </c>
      <c r="F74" t="s">
        <v>1623</v>
      </c>
    </row>
    <row r="75" spans="2:6">
      <c r="B75" t="s">
        <v>1624</v>
      </c>
      <c r="C75" t="s">
        <v>1476</v>
      </c>
      <c r="D75" t="s">
        <v>102</v>
      </c>
      <c r="E75">
        <v>42</v>
      </c>
      <c r="F75" t="s">
        <v>1625</v>
      </c>
    </row>
    <row r="76" spans="2:6">
      <c r="B76" t="s">
        <v>1626</v>
      </c>
      <c r="C76" t="s">
        <v>1476</v>
      </c>
      <c r="D76" t="s">
        <v>1237</v>
      </c>
      <c r="E76">
        <v>158.98729499999999</v>
      </c>
      <c r="F76" t="s">
        <v>1627</v>
      </c>
    </row>
    <row r="77" spans="2:6">
      <c r="B77" t="s">
        <v>1628</v>
      </c>
      <c r="C77" t="s">
        <v>1476</v>
      </c>
      <c r="D77" t="s">
        <v>1488</v>
      </c>
      <c r="E77">
        <v>0.158987295</v>
      </c>
      <c r="F77" t="s">
        <v>1629</v>
      </c>
    </row>
    <row r="78" spans="2:6">
      <c r="B78" t="s">
        <v>1630</v>
      </c>
      <c r="C78" t="s">
        <v>1237</v>
      </c>
      <c r="D78" t="s">
        <v>1488</v>
      </c>
      <c r="E78">
        <v>1E-3</v>
      </c>
      <c r="F78" t="s">
        <v>1631</v>
      </c>
    </row>
    <row r="79" spans="2:6">
      <c r="B79" t="s">
        <v>1632</v>
      </c>
      <c r="C79" t="s">
        <v>1237</v>
      </c>
      <c r="D79" t="s">
        <v>102</v>
      </c>
      <c r="E79">
        <v>0.26417205199999999</v>
      </c>
      <c r="F79" t="s">
        <v>1633</v>
      </c>
    </row>
    <row r="80" spans="2:6">
      <c r="B80" t="s">
        <v>1634</v>
      </c>
      <c r="C80" t="s">
        <v>1488</v>
      </c>
      <c r="D80" t="s">
        <v>1476</v>
      </c>
      <c r="E80">
        <v>6.2898107699999999</v>
      </c>
      <c r="F80" t="s">
        <v>1635</v>
      </c>
    </row>
    <row r="81" spans="2:6">
      <c r="B81" t="s">
        <v>1636</v>
      </c>
      <c r="C81" t="s">
        <v>1488</v>
      </c>
      <c r="D81" t="s">
        <v>102</v>
      </c>
      <c r="E81">
        <v>264.17205200000001</v>
      </c>
      <c r="F81" t="s">
        <v>1637</v>
      </c>
    </row>
    <row r="82" spans="2:6">
      <c r="B82" t="s">
        <v>1638</v>
      </c>
      <c r="C82" t="s">
        <v>1488</v>
      </c>
      <c r="D82" t="s">
        <v>1237</v>
      </c>
      <c r="E82">
        <v>1000</v>
      </c>
      <c r="F82" t="s">
        <v>1639</v>
      </c>
    </row>
    <row r="83" spans="2:6">
      <c r="B83" t="s">
        <v>1640</v>
      </c>
      <c r="C83" t="s">
        <v>102</v>
      </c>
      <c r="D83" t="s">
        <v>102</v>
      </c>
      <c r="E83">
        <v>1</v>
      </c>
    </row>
    <row r="84" spans="2:6">
      <c r="B84" t="s">
        <v>1641</v>
      </c>
      <c r="C84" t="s">
        <v>1488</v>
      </c>
      <c r="D84" t="s">
        <v>1488</v>
      </c>
      <c r="E84">
        <v>1</v>
      </c>
    </row>
    <row r="85" spans="2:6">
      <c r="B85" t="s">
        <v>1642</v>
      </c>
      <c r="C85" t="s">
        <v>1237</v>
      </c>
      <c r="D85" t="s">
        <v>1237</v>
      </c>
      <c r="E85">
        <v>1</v>
      </c>
    </row>
    <row r="86" spans="2:6">
      <c r="B86" t="s">
        <v>1643</v>
      </c>
      <c r="C86" t="s">
        <v>102</v>
      </c>
      <c r="D86" t="s">
        <v>197</v>
      </c>
      <c r="E86">
        <v>0.13368055556483893</v>
      </c>
    </row>
    <row r="87" spans="2:6">
      <c r="B87" t="s">
        <v>1644</v>
      </c>
      <c r="C87" t="s">
        <v>1237</v>
      </c>
      <c r="D87" t="s">
        <v>197</v>
      </c>
      <c r="E87">
        <v>3.531466671151158E-2</v>
      </c>
    </row>
    <row r="88" spans="2:6">
      <c r="B88" t="s">
        <v>1645</v>
      </c>
      <c r="C88" t="s">
        <v>1485</v>
      </c>
      <c r="D88" t="s">
        <v>197</v>
      </c>
      <c r="E88">
        <v>100</v>
      </c>
    </row>
    <row r="89" spans="2:6">
      <c r="B89" t="s">
        <v>1646</v>
      </c>
      <c r="C89" t="s">
        <v>1488</v>
      </c>
      <c r="D89" t="s">
        <v>197</v>
      </c>
      <c r="E89">
        <v>35.314666711511585</v>
      </c>
    </row>
    <row r="91" spans="2:6">
      <c r="B91" t="s">
        <v>1647</v>
      </c>
    </row>
    <row r="92" spans="2:6">
      <c r="B92" t="s">
        <v>466</v>
      </c>
      <c r="C92" t="s">
        <v>1584</v>
      </c>
      <c r="D92" t="s">
        <v>1585</v>
      </c>
      <c r="E92" t="s">
        <v>1586</v>
      </c>
      <c r="F92" t="s">
        <v>111</v>
      </c>
    </row>
    <row r="93" spans="2:6">
      <c r="B93" t="s">
        <v>1648</v>
      </c>
      <c r="C93" t="s">
        <v>101</v>
      </c>
      <c r="D93" t="s">
        <v>1461</v>
      </c>
      <c r="E93">
        <v>3412.1416300000001</v>
      </c>
      <c r="F93" t="s">
        <v>1649</v>
      </c>
    </row>
    <row r="94" spans="2:6">
      <c r="B94" t="s">
        <v>1650</v>
      </c>
      <c r="C94" t="s">
        <v>101</v>
      </c>
      <c r="D94" t="s">
        <v>1651</v>
      </c>
      <c r="E94">
        <v>3600</v>
      </c>
      <c r="F94" t="s">
        <v>1652</v>
      </c>
    </row>
    <row r="95" spans="2:6">
      <c r="B95" t="s">
        <v>1653</v>
      </c>
      <c r="C95" t="s">
        <v>1472</v>
      </c>
      <c r="D95" t="s">
        <v>1465</v>
      </c>
      <c r="E95">
        <v>1E-3</v>
      </c>
      <c r="F95" t="s">
        <v>1654</v>
      </c>
    </row>
    <row r="96" spans="2:6">
      <c r="B96" t="s">
        <v>1655</v>
      </c>
      <c r="C96" t="s">
        <v>1472</v>
      </c>
      <c r="D96" t="s">
        <v>97</v>
      </c>
      <c r="E96">
        <v>9.4781712000000006E-4</v>
      </c>
      <c r="F96" t="s">
        <v>1656</v>
      </c>
    </row>
    <row r="97" spans="2:6">
      <c r="B97" t="s">
        <v>1657</v>
      </c>
      <c r="C97" t="s">
        <v>1465</v>
      </c>
      <c r="D97" t="s">
        <v>97</v>
      </c>
      <c r="E97">
        <v>0.94781711999999996</v>
      </c>
      <c r="F97" t="s">
        <v>1658</v>
      </c>
    </row>
    <row r="98" spans="2:6">
      <c r="B98" t="s">
        <v>1659</v>
      </c>
      <c r="C98" t="s">
        <v>101</v>
      </c>
      <c r="D98" t="s">
        <v>97</v>
      </c>
      <c r="E98">
        <v>3.4121416300000001E-3</v>
      </c>
      <c r="F98" t="s">
        <v>1660</v>
      </c>
    </row>
    <row r="99" spans="2:6">
      <c r="B99" t="s">
        <v>1661</v>
      </c>
      <c r="C99" t="s">
        <v>1484</v>
      </c>
      <c r="D99" t="s">
        <v>97</v>
      </c>
      <c r="E99">
        <v>3.4121416300000003</v>
      </c>
      <c r="F99" t="s">
        <v>1662</v>
      </c>
    </row>
    <row r="100" spans="2:6">
      <c r="B100" t="s">
        <v>1663</v>
      </c>
      <c r="C100" t="s">
        <v>1461</v>
      </c>
      <c r="D100" t="s">
        <v>97</v>
      </c>
      <c r="E100">
        <v>9.9999999999999995E-7</v>
      </c>
      <c r="F100" t="s">
        <v>1664</v>
      </c>
    </row>
    <row r="101" spans="2:6">
      <c r="B101" t="s">
        <v>1665</v>
      </c>
      <c r="C101" t="s">
        <v>1472</v>
      </c>
      <c r="D101" t="s">
        <v>101</v>
      </c>
      <c r="E101">
        <v>0.27777777799999998</v>
      </c>
      <c r="F101" t="s">
        <v>1666</v>
      </c>
    </row>
    <row r="102" spans="2:6">
      <c r="B102" t="s">
        <v>1667</v>
      </c>
      <c r="C102" t="s">
        <v>1465</v>
      </c>
      <c r="D102" t="s">
        <v>101</v>
      </c>
      <c r="E102">
        <v>277.77777800000001</v>
      </c>
      <c r="F102" t="s">
        <v>1668</v>
      </c>
    </row>
    <row r="103" spans="2:6">
      <c r="B103" t="s">
        <v>1669</v>
      </c>
      <c r="C103" t="s">
        <v>97</v>
      </c>
      <c r="D103" t="s">
        <v>1465</v>
      </c>
      <c r="E103">
        <v>1.05505585</v>
      </c>
      <c r="F103" t="s">
        <v>1670</v>
      </c>
    </row>
    <row r="104" spans="2:6">
      <c r="B104" t="s">
        <v>1671</v>
      </c>
      <c r="C104" t="s">
        <v>97</v>
      </c>
      <c r="D104" t="s">
        <v>101</v>
      </c>
      <c r="E104">
        <v>293.07106999999996</v>
      </c>
      <c r="F104" t="s">
        <v>1672</v>
      </c>
    </row>
    <row r="105" spans="2:6">
      <c r="B105" t="s">
        <v>1673</v>
      </c>
      <c r="C105" t="s">
        <v>1484</v>
      </c>
      <c r="D105" t="s">
        <v>101</v>
      </c>
      <c r="E105">
        <v>1000</v>
      </c>
      <c r="F105" t="s">
        <v>1674</v>
      </c>
    </row>
    <row r="106" spans="2:6">
      <c r="B106" t="s">
        <v>1675</v>
      </c>
      <c r="C106" t="s">
        <v>1479</v>
      </c>
      <c r="D106" t="s">
        <v>1461</v>
      </c>
      <c r="E106">
        <v>100000</v>
      </c>
      <c r="F106" t="s">
        <v>1676</v>
      </c>
    </row>
    <row r="107" spans="2:6">
      <c r="B107" t="s">
        <v>1677</v>
      </c>
      <c r="C107" t="s">
        <v>1479</v>
      </c>
      <c r="D107" t="s">
        <v>1465</v>
      </c>
      <c r="E107">
        <v>0.105505585</v>
      </c>
      <c r="F107" t="s">
        <v>1678</v>
      </c>
    </row>
    <row r="108" spans="2:6">
      <c r="B108" t="s">
        <v>1679</v>
      </c>
      <c r="C108" t="s">
        <v>1479</v>
      </c>
      <c r="D108" t="s">
        <v>101</v>
      </c>
      <c r="E108">
        <v>29.307106999999998</v>
      </c>
      <c r="F108" t="s">
        <v>1680</v>
      </c>
    </row>
    <row r="109" spans="2:6">
      <c r="B109" t="s">
        <v>1681</v>
      </c>
      <c r="C109" t="s">
        <v>101</v>
      </c>
      <c r="D109" t="s">
        <v>1484</v>
      </c>
      <c r="E109">
        <v>1E-3</v>
      </c>
      <c r="F109" t="s">
        <v>1682</v>
      </c>
    </row>
    <row r="110" spans="2:6">
      <c r="B110" t="s">
        <v>1683</v>
      </c>
      <c r="C110" t="s">
        <v>1484</v>
      </c>
      <c r="D110" t="s">
        <v>1484</v>
      </c>
      <c r="E110">
        <v>1</v>
      </c>
      <c r="F110" t="s">
        <v>1684</v>
      </c>
    </row>
    <row r="111" spans="2:6">
      <c r="B111" t="s">
        <v>1685</v>
      </c>
      <c r="C111" t="s">
        <v>1536</v>
      </c>
      <c r="D111" t="s">
        <v>1484</v>
      </c>
      <c r="E111">
        <v>2.9307106999999998E-7</v>
      </c>
      <c r="F111" t="s">
        <v>1686</v>
      </c>
    </row>
    <row r="112" spans="2:6">
      <c r="B112" t="s">
        <v>1687</v>
      </c>
      <c r="C112" t="s">
        <v>1536</v>
      </c>
      <c r="D112" t="s">
        <v>101</v>
      </c>
      <c r="E112">
        <v>2.9307106999999999E-4</v>
      </c>
      <c r="F112" t="s">
        <v>1688</v>
      </c>
    </row>
    <row r="113" spans="2:6">
      <c r="B113" t="s">
        <v>1689</v>
      </c>
      <c r="C113" t="s">
        <v>1537</v>
      </c>
      <c r="D113" t="s">
        <v>1484</v>
      </c>
      <c r="E113">
        <v>0.29307106999999999</v>
      </c>
      <c r="F113" t="s">
        <v>1690</v>
      </c>
    </row>
    <row r="114" spans="2:6">
      <c r="B114" t="s">
        <v>1691</v>
      </c>
      <c r="C114" t="s">
        <v>1465</v>
      </c>
      <c r="D114" t="s">
        <v>1484</v>
      </c>
      <c r="E114">
        <v>0.27777777800000003</v>
      </c>
      <c r="F114" t="s">
        <v>1692</v>
      </c>
    </row>
    <row r="115" spans="2:6">
      <c r="B115" t="s">
        <v>1693</v>
      </c>
      <c r="C115" t="s">
        <v>1479</v>
      </c>
      <c r="D115" t="s">
        <v>1484</v>
      </c>
      <c r="E115">
        <v>2.9307106999999999E-2</v>
      </c>
      <c r="F115" t="s">
        <v>1694</v>
      </c>
    </row>
    <row r="116" spans="2:6">
      <c r="B116" t="s">
        <v>1695</v>
      </c>
      <c r="C116" t="s">
        <v>101</v>
      </c>
      <c r="D116" t="s">
        <v>1479</v>
      </c>
      <c r="E116">
        <v>3.4121416351330758E-2</v>
      </c>
      <c r="F116" t="s">
        <v>1696</v>
      </c>
    </row>
    <row r="117" spans="2:6">
      <c r="B117" t="s">
        <v>1697</v>
      </c>
      <c r="C117" t="s">
        <v>1484</v>
      </c>
      <c r="D117" t="s">
        <v>1479</v>
      </c>
      <c r="E117">
        <v>34.121416351330758</v>
      </c>
      <c r="F117" t="s">
        <v>1698</v>
      </c>
    </row>
    <row r="118" spans="2:6">
      <c r="B118" t="s">
        <v>1699</v>
      </c>
      <c r="C118" t="s">
        <v>1536</v>
      </c>
      <c r="D118" t="s">
        <v>1479</v>
      </c>
      <c r="E118">
        <v>1.0000000000000001E-5</v>
      </c>
      <c r="F118" t="s">
        <v>1700</v>
      </c>
    </row>
    <row r="119" spans="2:6">
      <c r="B119" t="s">
        <v>1701</v>
      </c>
      <c r="C119" t="s">
        <v>97</v>
      </c>
      <c r="D119" t="s">
        <v>1479</v>
      </c>
      <c r="E119">
        <v>10</v>
      </c>
      <c r="F119" t="s">
        <v>1702</v>
      </c>
    </row>
    <row r="120" spans="2:6">
      <c r="B120" t="s">
        <v>1703</v>
      </c>
      <c r="C120" t="s">
        <v>1472</v>
      </c>
      <c r="D120" t="s">
        <v>1479</v>
      </c>
      <c r="E120">
        <v>9.4781711999999997E-3</v>
      </c>
      <c r="F120" t="s">
        <v>1704</v>
      </c>
    </row>
    <row r="121" spans="2:6">
      <c r="B121" t="s">
        <v>1705</v>
      </c>
      <c r="C121" t="s">
        <v>1465</v>
      </c>
      <c r="D121" t="s">
        <v>1479</v>
      </c>
      <c r="E121">
        <v>9.4781712000000002</v>
      </c>
      <c r="F121" t="s">
        <v>1706</v>
      </c>
    </row>
    <row r="122" spans="2:6">
      <c r="B122" t="s">
        <v>1707</v>
      </c>
      <c r="C122" t="s">
        <v>1479</v>
      </c>
      <c r="D122" t="s">
        <v>1479</v>
      </c>
      <c r="E122">
        <v>1</v>
      </c>
      <c r="F122" t="s">
        <v>1708</v>
      </c>
    </row>
    <row r="123" spans="2:6">
      <c r="B123" t="s">
        <v>1709</v>
      </c>
      <c r="C123" t="s">
        <v>97</v>
      </c>
      <c r="D123" t="s">
        <v>97</v>
      </c>
      <c r="E123">
        <v>1</v>
      </c>
      <c r="F123" t="s">
        <v>1710</v>
      </c>
    </row>
    <row r="124" spans="2:6">
      <c r="B124" t="s">
        <v>1711</v>
      </c>
      <c r="C124" t="s">
        <v>101</v>
      </c>
      <c r="D124" t="s">
        <v>101</v>
      </c>
      <c r="E124">
        <v>1</v>
      </c>
      <c r="F124" t="s">
        <v>1712</v>
      </c>
    </row>
    <row r="125" spans="2:6">
      <c r="B125" t="s">
        <v>1713</v>
      </c>
      <c r="C125" t="s">
        <v>1465</v>
      </c>
      <c r="D125" t="s">
        <v>1465</v>
      </c>
      <c r="E125">
        <v>1</v>
      </c>
      <c r="F125" t="s">
        <v>1714</v>
      </c>
    </row>
    <row r="126" spans="2:6">
      <c r="B126" t="s">
        <v>1715</v>
      </c>
      <c r="C126" t="s">
        <v>1472</v>
      </c>
      <c r="D126" t="s">
        <v>1472</v>
      </c>
      <c r="E126">
        <v>1</v>
      </c>
      <c r="F126" t="s">
        <v>1716</v>
      </c>
    </row>
    <row r="127" spans="2:6">
      <c r="B127" t="s">
        <v>1717</v>
      </c>
      <c r="C127" t="s">
        <v>97</v>
      </c>
      <c r="D127" t="s">
        <v>1461</v>
      </c>
      <c r="E127">
        <v>1000000</v>
      </c>
      <c r="F127" t="s">
        <v>1718</v>
      </c>
    </row>
    <row r="128" spans="2:6">
      <c r="B128" t="s">
        <v>1395</v>
      </c>
    </row>
    <row r="129" spans="2:6">
      <c r="B129" t="s">
        <v>466</v>
      </c>
      <c r="C129" t="s">
        <v>1584</v>
      </c>
      <c r="D129" t="s">
        <v>1585</v>
      </c>
      <c r="E129" t="s">
        <v>1586</v>
      </c>
      <c r="F129" t="s">
        <v>111</v>
      </c>
    </row>
    <row r="130" spans="2:6">
      <c r="B130" t="s">
        <v>1719</v>
      </c>
      <c r="C130" t="s">
        <v>99</v>
      </c>
      <c r="D130" t="s">
        <v>384</v>
      </c>
      <c r="E130">
        <v>1.6093440000000001</v>
      </c>
      <c r="F130" t="s">
        <v>1720</v>
      </c>
    </row>
    <row r="131" spans="2:6">
      <c r="B131" t="s">
        <v>1721</v>
      </c>
      <c r="C131" t="s">
        <v>1526</v>
      </c>
      <c r="D131" t="s">
        <v>99</v>
      </c>
      <c r="E131">
        <v>1.150779</v>
      </c>
      <c r="F131" t="s">
        <v>1722</v>
      </c>
    </row>
    <row r="132" spans="2:6">
      <c r="B132" t="s">
        <v>1723</v>
      </c>
      <c r="C132" t="s">
        <v>384</v>
      </c>
      <c r="D132" t="s">
        <v>99</v>
      </c>
      <c r="E132">
        <v>0.62137119200000002</v>
      </c>
      <c r="F132" t="s">
        <v>1724</v>
      </c>
    </row>
    <row r="133" spans="2:6">
      <c r="B133" t="s">
        <v>1725</v>
      </c>
      <c r="C133" t="s">
        <v>99</v>
      </c>
      <c r="D133" t="s">
        <v>452</v>
      </c>
      <c r="E133">
        <v>1</v>
      </c>
      <c r="F133" t="s">
        <v>1726</v>
      </c>
    </row>
    <row r="134" spans="2:6">
      <c r="B134" t="s">
        <v>1727</v>
      </c>
      <c r="C134" t="s">
        <v>384</v>
      </c>
      <c r="D134" t="s">
        <v>452</v>
      </c>
      <c r="E134">
        <v>0.62137119200000002</v>
      </c>
      <c r="F134" t="s">
        <v>1728</v>
      </c>
    </row>
    <row r="135" spans="2:6">
      <c r="B135" t="s">
        <v>1729</v>
      </c>
      <c r="C135" t="s">
        <v>99</v>
      </c>
      <c r="D135" t="s">
        <v>448</v>
      </c>
      <c r="E135">
        <v>1</v>
      </c>
      <c r="F135" t="s">
        <v>1730</v>
      </c>
    </row>
    <row r="136" spans="2:6">
      <c r="B136" t="s">
        <v>1731</v>
      </c>
      <c r="C136" t="s">
        <v>384</v>
      </c>
      <c r="D136" t="s">
        <v>448</v>
      </c>
      <c r="E136">
        <v>0.62137119200000002</v>
      </c>
      <c r="F136" t="s">
        <v>1732</v>
      </c>
    </row>
    <row r="137" spans="2:6">
      <c r="B137" t="s">
        <v>1733</v>
      </c>
      <c r="C137" t="s">
        <v>481</v>
      </c>
      <c r="D137" t="s">
        <v>452</v>
      </c>
      <c r="E137">
        <v>0.62137119200000002</v>
      </c>
      <c r="F137" t="s">
        <v>1732</v>
      </c>
    </row>
    <row r="138" spans="2:6">
      <c r="B138" t="s">
        <v>1734</v>
      </c>
      <c r="C138" t="s">
        <v>1495</v>
      </c>
      <c r="D138" t="s">
        <v>448</v>
      </c>
      <c r="E138">
        <v>0.62137119200000002</v>
      </c>
      <c r="F138" t="s">
        <v>1732</v>
      </c>
    </row>
    <row r="139" spans="2:6">
      <c r="B139" t="s">
        <v>1735</v>
      </c>
      <c r="C139" t="s">
        <v>452</v>
      </c>
      <c r="D139" t="s">
        <v>481</v>
      </c>
      <c r="E139">
        <v>1.6093440000000001</v>
      </c>
      <c r="F139" t="s">
        <v>1736</v>
      </c>
    </row>
    <row r="140" spans="2:6">
      <c r="B140" t="s">
        <v>1737</v>
      </c>
      <c r="C140" t="s">
        <v>448</v>
      </c>
      <c r="D140" t="s">
        <v>1495</v>
      </c>
      <c r="E140">
        <v>1.6093440000000001</v>
      </c>
      <c r="F140" t="s">
        <v>1736</v>
      </c>
    </row>
    <row r="141" spans="2:6">
      <c r="B141" t="s">
        <v>1738</v>
      </c>
      <c r="C141" t="s">
        <v>452</v>
      </c>
      <c r="D141" t="s">
        <v>99</v>
      </c>
      <c r="E141">
        <v>1</v>
      </c>
      <c r="F141" t="s">
        <v>1739</v>
      </c>
    </row>
    <row r="142" spans="2:6">
      <c r="B142" t="s">
        <v>1740</v>
      </c>
      <c r="C142" t="s">
        <v>481</v>
      </c>
      <c r="D142" t="s">
        <v>99</v>
      </c>
      <c r="E142">
        <v>0.62137119200000002</v>
      </c>
      <c r="F142" t="s">
        <v>1741</v>
      </c>
    </row>
    <row r="143" spans="2:6">
      <c r="B143" t="s">
        <v>1742</v>
      </c>
      <c r="C143" t="s">
        <v>99</v>
      </c>
      <c r="D143" t="s">
        <v>1495</v>
      </c>
      <c r="E143">
        <v>1.6093440000000001</v>
      </c>
      <c r="F143" t="s">
        <v>1736</v>
      </c>
    </row>
    <row r="144" spans="2:6">
      <c r="B144" t="s">
        <v>1743</v>
      </c>
      <c r="C144" t="s">
        <v>452</v>
      </c>
      <c r="D144" t="s">
        <v>384</v>
      </c>
      <c r="E144">
        <v>1.6093440000000001</v>
      </c>
      <c r="F144" t="s">
        <v>1744</v>
      </c>
    </row>
    <row r="145" spans="2:6">
      <c r="B145" t="s">
        <v>1745</v>
      </c>
      <c r="C145" t="s">
        <v>463</v>
      </c>
      <c r="D145" t="s">
        <v>505</v>
      </c>
      <c r="E145">
        <v>1.459972</v>
      </c>
      <c r="F145" t="s">
        <v>1746</v>
      </c>
    </row>
    <row r="146" spans="2:6">
      <c r="B146" t="s">
        <v>1747</v>
      </c>
      <c r="C146" t="s">
        <v>505</v>
      </c>
      <c r="D146" t="s">
        <v>463</v>
      </c>
      <c r="E146">
        <v>0.68494464277397094</v>
      </c>
      <c r="F146" t="s">
        <v>1746</v>
      </c>
    </row>
    <row r="147" spans="2:6">
      <c r="B147" t="s">
        <v>1748</v>
      </c>
      <c r="C147" t="s">
        <v>102</v>
      </c>
      <c r="D147" t="s">
        <v>1485</v>
      </c>
      <c r="E147">
        <v>1.3368055556483892E-3</v>
      </c>
    </row>
    <row r="148" spans="2:6">
      <c r="B148" t="s">
        <v>1749</v>
      </c>
      <c r="C148" t="s">
        <v>197</v>
      </c>
      <c r="D148" t="s">
        <v>1485</v>
      </c>
      <c r="E148">
        <v>0.01</v>
      </c>
    </row>
    <row r="149" spans="2:6">
      <c r="B149" t="s">
        <v>1750</v>
      </c>
      <c r="C149" t="s">
        <v>101</v>
      </c>
      <c r="D149" t="s">
        <v>1472</v>
      </c>
      <c r="E149">
        <v>3.6</v>
      </c>
      <c r="F149" t="s">
        <v>1751</v>
      </c>
    </row>
    <row r="150" spans="2:6">
      <c r="B150" t="s">
        <v>1752</v>
      </c>
      <c r="C150" t="s">
        <v>101</v>
      </c>
      <c r="D150" t="s">
        <v>1465</v>
      </c>
      <c r="E150">
        <v>3.5999999999999999E-3</v>
      </c>
      <c r="F150" t="s">
        <v>1753</v>
      </c>
    </row>
    <row r="151" spans="2:6">
      <c r="B151" t="s">
        <v>1754</v>
      </c>
      <c r="C151" t="s">
        <v>1755</v>
      </c>
      <c r="D151" t="s">
        <v>1756</v>
      </c>
      <c r="E151">
        <v>4.5359237000000004E-4</v>
      </c>
    </row>
    <row r="152" spans="2:6">
      <c r="B152" t="s">
        <v>1757</v>
      </c>
      <c r="C152" t="s">
        <v>97</v>
      </c>
      <c r="D152" t="s">
        <v>1472</v>
      </c>
      <c r="E152">
        <f>1/E95</f>
        <v>1000</v>
      </c>
      <c r="F152" t="s">
        <v>1758</v>
      </c>
    </row>
    <row r="153" spans="2:6">
      <c r="B153" t="s">
        <v>1663</v>
      </c>
      <c r="C153" t="s">
        <v>1461</v>
      </c>
      <c r="D153" t="s">
        <v>97</v>
      </c>
      <c r="E153">
        <v>9.9999999999999995E-7</v>
      </c>
      <c r="F153" t="s">
        <v>1664</v>
      </c>
    </row>
    <row r="154" spans="2:6">
      <c r="B154" t="s">
        <v>1759</v>
      </c>
      <c r="C154" t="s">
        <v>1479</v>
      </c>
      <c r="D154" t="s">
        <v>97</v>
      </c>
      <c r="E154">
        <v>0.1</v>
      </c>
      <c r="F154" t="s">
        <v>1760</v>
      </c>
    </row>
    <row r="155" spans="2:6">
      <c r="B155" t="s">
        <v>1761</v>
      </c>
      <c r="C155" t="s">
        <v>452</v>
      </c>
      <c r="D155" t="s">
        <v>448</v>
      </c>
      <c r="E155">
        <v>1</v>
      </c>
      <c r="F155" t="s">
        <v>1762</v>
      </c>
    </row>
    <row r="156" spans="2:6">
      <c r="B156" t="s">
        <v>1763</v>
      </c>
      <c r="C156" t="s">
        <v>448</v>
      </c>
      <c r="D156" t="s">
        <v>452</v>
      </c>
      <c r="E156">
        <v>1</v>
      </c>
      <c r="F156" t="s">
        <v>1764</v>
      </c>
    </row>
    <row r="157" spans="2:6">
      <c r="B157" t="s">
        <v>1765</v>
      </c>
      <c r="C157" t="s">
        <v>481</v>
      </c>
      <c r="D157" t="s">
        <v>1495</v>
      </c>
      <c r="E157">
        <v>1</v>
      </c>
      <c r="F157" t="s">
        <v>1766</v>
      </c>
    </row>
    <row r="158" spans="2:6">
      <c r="B158" t="s">
        <v>1767</v>
      </c>
      <c r="C158" t="s">
        <v>1495</v>
      </c>
      <c r="D158" t="s">
        <v>481</v>
      </c>
      <c r="E158">
        <v>1</v>
      </c>
      <c r="F158" t="s">
        <v>1768</v>
      </c>
    </row>
    <row r="159" spans="2:6">
      <c r="B159" t="s">
        <v>1769</v>
      </c>
      <c r="C159" t="s">
        <v>452</v>
      </c>
      <c r="D159" t="s">
        <v>1495</v>
      </c>
      <c r="E159">
        <v>1.6093440000000001</v>
      </c>
      <c r="F159" t="s">
        <v>1770</v>
      </c>
    </row>
    <row r="160" spans="2:6">
      <c r="B160" t="s">
        <v>1771</v>
      </c>
      <c r="C160" t="s">
        <v>448</v>
      </c>
      <c r="D160" t="s">
        <v>481</v>
      </c>
      <c r="E160">
        <v>1.6093440000000001</v>
      </c>
      <c r="F160" t="s">
        <v>1772</v>
      </c>
    </row>
    <row r="161" spans="2:6">
      <c r="B161" t="s">
        <v>1773</v>
      </c>
      <c r="C161" t="s">
        <v>481</v>
      </c>
      <c r="D161" t="s">
        <v>448</v>
      </c>
      <c r="E161">
        <v>0.62137119200000002</v>
      </c>
      <c r="F161" t="s">
        <v>1774</v>
      </c>
    </row>
    <row r="162" spans="2:6">
      <c r="B162" t="s">
        <v>1775</v>
      </c>
      <c r="C162" t="s">
        <v>1495</v>
      </c>
      <c r="D162" t="s">
        <v>452</v>
      </c>
      <c r="E162">
        <v>0.62137119200000002</v>
      </c>
      <c r="F162" t="s">
        <v>1776</v>
      </c>
    </row>
  </sheetData>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5116A-D7E0-405A-ACF2-6E25749F8EB5}">
  <sheetPr codeName="Sheet14"/>
  <dimension ref="B2:AY1008"/>
  <sheetViews>
    <sheetView topLeftCell="R1" zoomScale="115" zoomScaleNormal="115" workbookViewId="0">
      <selection activeCell="AI5" sqref="AI5:AI9"/>
    </sheetView>
  </sheetViews>
  <sheetFormatPr baseColWidth="10" defaultColWidth="9.140625" defaultRowHeight="15"/>
  <cols>
    <col min="33" max="33" width="18.5703125" bestFit="1" customWidth="1"/>
    <col min="34" max="37" width="11.7109375" bestFit="1" customWidth="1"/>
  </cols>
  <sheetData>
    <row r="2" spans="2:36" ht="18.75">
      <c r="B2" s="790" t="s">
        <v>1777</v>
      </c>
      <c r="C2" s="791" t="s">
        <v>1778</v>
      </c>
      <c r="D2" s="792"/>
      <c r="E2" s="792"/>
      <c r="F2" s="793"/>
      <c r="G2" s="793"/>
      <c r="H2" s="793"/>
      <c r="I2" s="793"/>
      <c r="J2" s="793"/>
      <c r="K2" s="793"/>
      <c r="Q2" s="790" t="s">
        <v>1779</v>
      </c>
      <c r="R2" s="791" t="s">
        <v>1780</v>
      </c>
      <c r="S2" s="792"/>
      <c r="T2" s="792"/>
      <c r="U2" s="792"/>
      <c r="V2" s="793"/>
      <c r="W2" s="793"/>
      <c r="X2" s="793"/>
      <c r="Y2" s="793"/>
      <c r="Z2" s="793"/>
      <c r="AA2" s="794"/>
    </row>
    <row r="3" spans="2:36" ht="15.75" thickBot="1">
      <c r="B3" s="1"/>
      <c r="C3" s="2"/>
      <c r="D3" s="2"/>
      <c r="E3" s="2"/>
      <c r="F3" s="2"/>
      <c r="G3" s="2"/>
      <c r="H3" s="2"/>
      <c r="I3" s="2"/>
      <c r="J3" s="2"/>
      <c r="K3" s="2"/>
      <c r="Q3" s="1"/>
      <c r="R3" s="2"/>
      <c r="S3" s="2"/>
      <c r="T3" s="2"/>
      <c r="U3" s="2"/>
      <c r="V3" s="2"/>
      <c r="W3" s="2"/>
      <c r="X3" s="2"/>
      <c r="Y3" s="2"/>
      <c r="Z3" s="2"/>
      <c r="AA3" s="2"/>
    </row>
    <row r="4" spans="2:36" ht="39" thickBot="1">
      <c r="B4" s="3"/>
      <c r="C4" s="4" t="s">
        <v>103</v>
      </c>
      <c r="D4" s="5" t="s">
        <v>104</v>
      </c>
      <c r="E4" s="5" t="s">
        <v>1781</v>
      </c>
      <c r="F4" s="5" t="s">
        <v>1782</v>
      </c>
      <c r="G4" s="5" t="s">
        <v>1783</v>
      </c>
      <c r="H4" s="5" t="s">
        <v>1781</v>
      </c>
      <c r="I4" s="5" t="s">
        <v>1782</v>
      </c>
      <c r="J4" s="6" t="s">
        <v>1783</v>
      </c>
      <c r="K4" s="7"/>
      <c r="Q4" s="92"/>
      <c r="R4" s="91" t="s">
        <v>103</v>
      </c>
      <c r="S4" s="90" t="s">
        <v>1784</v>
      </c>
      <c r="T4" s="89" t="s">
        <v>194</v>
      </c>
      <c r="U4" s="88"/>
      <c r="V4" s="63"/>
      <c r="W4" s="63"/>
      <c r="X4" s="64"/>
      <c r="Y4" s="64"/>
      <c r="Z4" s="92"/>
      <c r="AA4" s="92"/>
      <c r="AG4" t="s">
        <v>978</v>
      </c>
      <c r="AH4" t="s">
        <v>979</v>
      </c>
      <c r="AI4" t="s">
        <v>1883</v>
      </c>
      <c r="AJ4" t="s">
        <v>552</v>
      </c>
    </row>
    <row r="5" spans="2:36" ht="37.5">
      <c r="B5" s="8"/>
      <c r="C5" s="9"/>
      <c r="D5" s="795" t="s">
        <v>114</v>
      </c>
      <c r="E5" s="795" t="s">
        <v>1785</v>
      </c>
      <c r="F5" s="795" t="s">
        <v>1786</v>
      </c>
      <c r="G5" s="795" t="s">
        <v>1787</v>
      </c>
      <c r="H5" s="795" t="s">
        <v>1788</v>
      </c>
      <c r="I5" s="795" t="s">
        <v>1789</v>
      </c>
      <c r="J5" s="10" t="s">
        <v>1790</v>
      </c>
      <c r="K5" s="7"/>
      <c r="Q5" s="1"/>
      <c r="R5" s="65" t="s">
        <v>149</v>
      </c>
      <c r="S5" s="66">
        <v>8.31</v>
      </c>
      <c r="T5" s="67" t="s">
        <v>195</v>
      </c>
      <c r="U5" s="88"/>
      <c r="V5" s="63"/>
      <c r="W5" s="63"/>
      <c r="X5" s="64"/>
      <c r="Y5" s="68"/>
      <c r="Z5" s="2"/>
      <c r="AA5" s="2"/>
      <c r="AG5" t="s">
        <v>940</v>
      </c>
      <c r="AH5" t="s">
        <v>553</v>
      </c>
      <c r="AI5">
        <v>1</v>
      </c>
      <c r="AJ5">
        <v>1</v>
      </c>
    </row>
    <row r="6" spans="2:36">
      <c r="B6" s="11"/>
      <c r="C6" s="796" t="s">
        <v>113</v>
      </c>
      <c r="D6" s="12"/>
      <c r="E6" s="12"/>
      <c r="F6" s="12"/>
      <c r="G6" s="12"/>
      <c r="H6" s="12"/>
      <c r="I6" s="12"/>
      <c r="J6" s="13"/>
      <c r="K6" s="2"/>
      <c r="Q6" s="1"/>
      <c r="R6" s="69" t="s">
        <v>180</v>
      </c>
      <c r="S6" s="797">
        <v>9.4499999999999993</v>
      </c>
      <c r="T6" s="70" t="s">
        <v>195</v>
      </c>
      <c r="U6" s="63"/>
      <c r="V6" s="63"/>
      <c r="W6" s="63"/>
      <c r="X6" s="64"/>
      <c r="Y6" s="68"/>
      <c r="Z6" s="2"/>
      <c r="AA6" s="2"/>
      <c r="AG6" t="s">
        <v>943</v>
      </c>
      <c r="AH6" t="s">
        <v>554</v>
      </c>
      <c r="AI6">
        <v>27.9</v>
      </c>
      <c r="AJ6">
        <v>28</v>
      </c>
    </row>
    <row r="7" spans="2:36">
      <c r="B7" s="14"/>
      <c r="C7" s="15" t="s">
        <v>115</v>
      </c>
      <c r="D7" s="798">
        <v>25.09</v>
      </c>
      <c r="E7" s="798">
        <v>103.69</v>
      </c>
      <c r="F7" s="799">
        <v>11</v>
      </c>
      <c r="G7" s="800">
        <v>1.6</v>
      </c>
      <c r="H7" s="799">
        <v>2602</v>
      </c>
      <c r="I7" s="799">
        <v>276</v>
      </c>
      <c r="J7" s="16">
        <v>40</v>
      </c>
      <c r="K7" s="17"/>
      <c r="Q7" s="1"/>
      <c r="R7" s="69" t="s">
        <v>196</v>
      </c>
      <c r="S7" s="801">
        <v>5.4440000000000002E-2</v>
      </c>
      <c r="T7" s="70" t="s">
        <v>197</v>
      </c>
      <c r="U7" s="63"/>
      <c r="V7" s="63"/>
      <c r="W7" s="63"/>
      <c r="X7" s="64"/>
      <c r="Y7" s="68"/>
      <c r="Z7" s="2"/>
      <c r="AA7" s="2"/>
      <c r="AG7" t="s">
        <v>944</v>
      </c>
      <c r="AH7" t="s">
        <v>555</v>
      </c>
      <c r="AI7">
        <v>273</v>
      </c>
      <c r="AJ7">
        <v>265</v>
      </c>
    </row>
    <row r="8" spans="2:36">
      <c r="B8" s="14"/>
      <c r="C8" s="15" t="s">
        <v>117</v>
      </c>
      <c r="D8" s="798">
        <v>24.93</v>
      </c>
      <c r="E8" s="798">
        <v>93.28</v>
      </c>
      <c r="F8" s="799">
        <v>11</v>
      </c>
      <c r="G8" s="800">
        <v>1.6</v>
      </c>
      <c r="H8" s="799">
        <v>2325</v>
      </c>
      <c r="I8" s="799">
        <v>274</v>
      </c>
      <c r="J8" s="16">
        <v>40</v>
      </c>
      <c r="K8" s="17"/>
      <c r="Q8" s="71"/>
      <c r="R8" s="69" t="s">
        <v>198</v>
      </c>
      <c r="S8" s="797">
        <v>10.210000000000001</v>
      </c>
      <c r="T8" s="72" t="s">
        <v>195</v>
      </c>
      <c r="U8" s="63"/>
      <c r="V8" s="63"/>
      <c r="W8" s="63"/>
      <c r="X8" s="64"/>
      <c r="Y8" s="68"/>
      <c r="Z8" s="2"/>
      <c r="AA8" s="2"/>
      <c r="AG8" t="s">
        <v>966</v>
      </c>
      <c r="AH8" t="s">
        <v>967</v>
      </c>
      <c r="AI8">
        <v>17400</v>
      </c>
      <c r="AJ8">
        <v>16100</v>
      </c>
    </row>
    <row r="9" spans="2:36">
      <c r="B9" s="14"/>
      <c r="C9" s="15" t="s">
        <v>118</v>
      </c>
      <c r="D9" s="798">
        <v>17.25</v>
      </c>
      <c r="E9" s="798">
        <v>97.17</v>
      </c>
      <c r="F9" s="799">
        <v>11</v>
      </c>
      <c r="G9" s="800">
        <v>1.6</v>
      </c>
      <c r="H9" s="799">
        <v>1676</v>
      </c>
      <c r="I9" s="799">
        <v>190</v>
      </c>
      <c r="J9" s="16">
        <v>28</v>
      </c>
      <c r="K9" s="17"/>
      <c r="Q9" s="1"/>
      <c r="R9" s="69" t="s">
        <v>181</v>
      </c>
      <c r="S9" s="797">
        <v>5.75</v>
      </c>
      <c r="T9" s="70" t="s">
        <v>195</v>
      </c>
      <c r="U9" s="63"/>
      <c r="V9" s="63"/>
      <c r="W9" s="63"/>
      <c r="X9" s="64"/>
      <c r="Y9" s="68"/>
      <c r="Z9" s="2"/>
      <c r="AA9" s="2"/>
      <c r="AG9" t="s">
        <v>964</v>
      </c>
      <c r="AH9" t="s">
        <v>985</v>
      </c>
      <c r="AI9">
        <v>25200</v>
      </c>
      <c r="AJ9">
        <v>23500</v>
      </c>
    </row>
    <row r="10" spans="2:36">
      <c r="B10" s="14"/>
      <c r="C10" s="15" t="s">
        <v>119</v>
      </c>
      <c r="D10" s="798">
        <v>14.21</v>
      </c>
      <c r="E10" s="798">
        <v>97.72</v>
      </c>
      <c r="F10" s="799">
        <v>11</v>
      </c>
      <c r="G10" s="800">
        <v>1.6</v>
      </c>
      <c r="H10" s="799">
        <v>1389</v>
      </c>
      <c r="I10" s="799">
        <v>156</v>
      </c>
      <c r="J10" s="16">
        <v>23</v>
      </c>
      <c r="K10" s="17"/>
      <c r="Q10" s="1"/>
      <c r="R10" s="69" t="s">
        <v>162</v>
      </c>
      <c r="S10" s="797">
        <v>9.75</v>
      </c>
      <c r="T10" s="72" t="s">
        <v>195</v>
      </c>
      <c r="U10" s="63"/>
      <c r="V10" s="63"/>
      <c r="W10" s="63"/>
      <c r="X10" s="64"/>
      <c r="Y10" s="68"/>
      <c r="Z10" s="2"/>
      <c r="AA10" s="2"/>
    </row>
    <row r="11" spans="2:36">
      <c r="B11" s="14"/>
      <c r="C11" s="18" t="s">
        <v>120</v>
      </c>
      <c r="D11" s="798">
        <v>21.39</v>
      </c>
      <c r="E11" s="798">
        <v>94.27</v>
      </c>
      <c r="F11" s="799">
        <v>11</v>
      </c>
      <c r="G11" s="800">
        <v>1.6</v>
      </c>
      <c r="H11" s="799">
        <v>2016</v>
      </c>
      <c r="I11" s="799">
        <v>235</v>
      </c>
      <c r="J11" s="16">
        <v>34</v>
      </c>
      <c r="K11" s="19"/>
      <c r="Q11" s="1"/>
      <c r="R11" s="69" t="s">
        <v>199</v>
      </c>
      <c r="S11" s="802">
        <v>4.5</v>
      </c>
      <c r="T11" s="70" t="s">
        <v>195</v>
      </c>
      <c r="U11" s="2"/>
      <c r="V11" s="63"/>
      <c r="W11" s="63"/>
      <c r="X11" s="64"/>
      <c r="Y11" s="68"/>
      <c r="Z11" s="2"/>
      <c r="AA11" s="2"/>
    </row>
    <row r="12" spans="2:36">
      <c r="B12" s="14"/>
      <c r="C12" s="18" t="s">
        <v>121</v>
      </c>
      <c r="D12" s="798">
        <v>19.73</v>
      </c>
      <c r="E12" s="798">
        <v>95.52</v>
      </c>
      <c r="F12" s="799">
        <v>11</v>
      </c>
      <c r="G12" s="800">
        <v>1.6</v>
      </c>
      <c r="H12" s="799">
        <v>1885</v>
      </c>
      <c r="I12" s="799">
        <v>217</v>
      </c>
      <c r="J12" s="16">
        <v>32</v>
      </c>
      <c r="K12" s="17"/>
      <c r="Q12" s="1"/>
      <c r="R12" s="69" t="s">
        <v>163</v>
      </c>
      <c r="S12" s="797">
        <v>5.68</v>
      </c>
      <c r="T12" s="72" t="s">
        <v>195</v>
      </c>
      <c r="U12" s="63"/>
      <c r="V12" s="73"/>
      <c r="W12" s="63"/>
      <c r="X12" s="64"/>
      <c r="Y12" s="68"/>
      <c r="Z12" s="2"/>
      <c r="AA12" s="2"/>
    </row>
    <row r="13" spans="2:36">
      <c r="B13" s="14"/>
      <c r="C13" s="18" t="s">
        <v>122</v>
      </c>
      <c r="D13" s="798">
        <v>26.28</v>
      </c>
      <c r="E13" s="798">
        <v>93.9</v>
      </c>
      <c r="F13" s="799">
        <v>11</v>
      </c>
      <c r="G13" s="800">
        <v>1.6</v>
      </c>
      <c r="H13" s="799">
        <v>2468</v>
      </c>
      <c r="I13" s="799">
        <v>289</v>
      </c>
      <c r="J13" s="16">
        <v>42</v>
      </c>
      <c r="K13" s="17"/>
      <c r="Q13" s="1"/>
      <c r="R13" s="69" t="s">
        <v>165</v>
      </c>
      <c r="S13" s="797">
        <v>8.7799999999999994</v>
      </c>
      <c r="T13" s="72" t="s">
        <v>195</v>
      </c>
      <c r="U13" s="63"/>
      <c r="V13" s="63"/>
      <c r="W13" s="63"/>
      <c r="X13" s="64"/>
      <c r="Y13" s="68"/>
      <c r="Z13" s="2"/>
      <c r="AA13" s="2"/>
    </row>
    <row r="14" spans="2:36" ht="15.75" thickBot="1">
      <c r="B14" s="14"/>
      <c r="C14" s="18" t="s">
        <v>123</v>
      </c>
      <c r="D14" s="798">
        <v>22.35</v>
      </c>
      <c r="E14" s="798">
        <v>94.67</v>
      </c>
      <c r="F14" s="799">
        <v>11</v>
      </c>
      <c r="G14" s="800">
        <v>1.6</v>
      </c>
      <c r="H14" s="799">
        <v>2116</v>
      </c>
      <c r="I14" s="799">
        <v>246</v>
      </c>
      <c r="J14" s="16">
        <v>36</v>
      </c>
      <c r="K14" s="17"/>
      <c r="Q14" s="1"/>
      <c r="R14" s="100" t="s">
        <v>200</v>
      </c>
      <c r="S14" s="101">
        <v>11.27</v>
      </c>
      <c r="T14" s="102" t="s">
        <v>195</v>
      </c>
      <c r="U14" s="63"/>
      <c r="V14" s="63"/>
      <c r="W14" s="63"/>
      <c r="X14" s="64"/>
      <c r="Y14" s="64"/>
      <c r="Z14" s="2"/>
      <c r="AA14" s="2"/>
    </row>
    <row r="15" spans="2:36">
      <c r="B15" s="14"/>
      <c r="C15" s="15" t="s">
        <v>124</v>
      </c>
      <c r="D15" s="798">
        <v>24.8</v>
      </c>
      <c r="E15" s="798">
        <v>113.67</v>
      </c>
      <c r="F15" s="799">
        <v>11</v>
      </c>
      <c r="G15" s="800">
        <v>1.6</v>
      </c>
      <c r="H15" s="799">
        <v>2819</v>
      </c>
      <c r="I15" s="799">
        <v>273</v>
      </c>
      <c r="J15" s="16">
        <v>40</v>
      </c>
      <c r="K15" s="17"/>
      <c r="Q15" s="92"/>
      <c r="R15" s="59" t="s">
        <v>190</v>
      </c>
      <c r="S15" s="60"/>
      <c r="T15" s="60"/>
      <c r="U15" s="103"/>
      <c r="V15" s="103"/>
      <c r="W15" s="103"/>
      <c r="X15" s="103"/>
      <c r="Y15" s="103"/>
      <c r="Z15" s="60"/>
      <c r="AA15" s="60"/>
    </row>
    <row r="16" spans="2:36">
      <c r="B16" s="11"/>
      <c r="C16" s="20" t="s">
        <v>125</v>
      </c>
      <c r="D16" s="21"/>
      <c r="E16" s="21"/>
      <c r="F16" s="22"/>
      <c r="G16" s="23"/>
      <c r="H16" s="22"/>
      <c r="I16" s="22"/>
      <c r="J16" s="24"/>
      <c r="K16" s="17"/>
      <c r="Q16" s="1"/>
      <c r="R16" s="1012" t="s">
        <v>201</v>
      </c>
      <c r="S16" s="1012"/>
      <c r="T16" s="1012"/>
      <c r="U16" s="1012"/>
      <c r="V16" s="1012"/>
      <c r="W16" s="1012"/>
      <c r="X16" s="1012"/>
      <c r="Y16" s="1012"/>
      <c r="Z16" s="1012"/>
      <c r="AA16" s="2"/>
    </row>
    <row r="17" spans="2:27">
      <c r="B17" s="14"/>
      <c r="C17" s="18" t="s">
        <v>126</v>
      </c>
      <c r="D17" s="798">
        <v>9.9499999999999993</v>
      </c>
      <c r="E17" s="798">
        <v>90.7</v>
      </c>
      <c r="F17" s="799">
        <v>32</v>
      </c>
      <c r="G17" s="800">
        <v>4.2</v>
      </c>
      <c r="H17" s="799">
        <v>902</v>
      </c>
      <c r="I17" s="799">
        <v>318</v>
      </c>
      <c r="J17" s="16">
        <v>42</v>
      </c>
      <c r="K17" s="17"/>
      <c r="Q17" s="1"/>
      <c r="R17" s="62" t="s">
        <v>202</v>
      </c>
      <c r="S17" s="104"/>
      <c r="T17" s="104"/>
      <c r="U17" s="104"/>
      <c r="V17" s="104"/>
      <c r="W17" s="105"/>
      <c r="X17" s="105"/>
      <c r="Y17" s="2"/>
      <c r="Z17" s="2"/>
      <c r="AA17" s="106"/>
    </row>
    <row r="18" spans="2:27">
      <c r="B18" s="14"/>
      <c r="C18" s="18" t="s">
        <v>127</v>
      </c>
      <c r="D18" s="798">
        <v>30</v>
      </c>
      <c r="E18" s="798">
        <v>102.41</v>
      </c>
      <c r="F18" s="799">
        <v>32</v>
      </c>
      <c r="G18" s="800">
        <v>4.2</v>
      </c>
      <c r="H18" s="799">
        <v>3072</v>
      </c>
      <c r="I18" s="799">
        <v>960</v>
      </c>
      <c r="J18" s="16">
        <v>126</v>
      </c>
      <c r="K18" s="25"/>
      <c r="Q18" s="1"/>
      <c r="R18" s="1032" t="s">
        <v>1791</v>
      </c>
      <c r="S18" s="1032"/>
      <c r="T18" s="1032"/>
      <c r="U18" s="1032"/>
      <c r="V18" s="1032"/>
      <c r="W18" s="1032"/>
      <c r="X18" s="1032"/>
      <c r="Y18" s="1032"/>
      <c r="Z18" s="1032"/>
      <c r="AA18" s="106"/>
    </row>
    <row r="19" spans="2:27">
      <c r="B19" s="14"/>
      <c r="C19" s="18" t="s">
        <v>128</v>
      </c>
      <c r="D19" s="798">
        <v>38</v>
      </c>
      <c r="E19" s="798">
        <v>75</v>
      </c>
      <c r="F19" s="799">
        <v>32</v>
      </c>
      <c r="G19" s="800">
        <v>4.2</v>
      </c>
      <c r="H19" s="799">
        <v>2850</v>
      </c>
      <c r="I19" s="799">
        <v>1216</v>
      </c>
      <c r="J19" s="16">
        <v>160</v>
      </c>
      <c r="K19" s="2"/>
      <c r="Q19" s="1"/>
      <c r="R19" s="107"/>
      <c r="S19" s="2"/>
      <c r="T19" s="2"/>
      <c r="U19" s="2"/>
      <c r="V19" s="2"/>
      <c r="W19" s="2"/>
      <c r="X19" s="2"/>
      <c r="Y19" s="2"/>
      <c r="Z19" s="2"/>
      <c r="AA19" s="2"/>
    </row>
    <row r="20" spans="2:27" ht="18.75">
      <c r="B20" s="14"/>
      <c r="C20" s="18" t="s">
        <v>129</v>
      </c>
      <c r="D20" s="798">
        <v>28</v>
      </c>
      <c r="E20" s="798">
        <v>85.97</v>
      </c>
      <c r="F20" s="799">
        <v>32</v>
      </c>
      <c r="G20" s="800">
        <v>4.2</v>
      </c>
      <c r="H20" s="799">
        <v>2407</v>
      </c>
      <c r="I20" s="799">
        <v>896</v>
      </c>
      <c r="J20" s="16">
        <v>118</v>
      </c>
      <c r="K20" s="2"/>
      <c r="Q20" s="218" t="s">
        <v>1792</v>
      </c>
      <c r="R20" s="803" t="s">
        <v>1793</v>
      </c>
      <c r="S20" s="804"/>
      <c r="T20" s="220"/>
      <c r="U20" s="220"/>
      <c r="V20" s="220"/>
      <c r="W20" s="220"/>
      <c r="X20" s="220"/>
      <c r="Y20" s="220"/>
      <c r="Z20" s="220"/>
      <c r="AA20" s="221"/>
    </row>
    <row r="21" spans="2:27" ht="15.75" thickBot="1">
      <c r="B21" s="11"/>
      <c r="C21" s="20" t="s">
        <v>130</v>
      </c>
      <c r="D21" s="21"/>
      <c r="E21" s="21"/>
      <c r="F21" s="22"/>
      <c r="G21" s="23"/>
      <c r="H21" s="26"/>
      <c r="I21" s="26"/>
      <c r="J21" s="27"/>
      <c r="K21" s="2"/>
      <c r="Q21" s="2"/>
      <c r="R21" s="2"/>
      <c r="S21" s="2"/>
      <c r="T21" s="2"/>
      <c r="U21" s="2"/>
      <c r="V21" s="2"/>
      <c r="W21" s="2"/>
      <c r="X21" s="2"/>
      <c r="Y21" s="2"/>
      <c r="Z21" s="2"/>
      <c r="AA21" s="2"/>
    </row>
    <row r="22" spans="2:27" ht="40.5" thickBot="1">
      <c r="B22" s="14"/>
      <c r="C22" s="18" t="s">
        <v>131</v>
      </c>
      <c r="D22" s="798">
        <v>8.25</v>
      </c>
      <c r="E22" s="798">
        <v>118.17</v>
      </c>
      <c r="F22" s="799">
        <v>32</v>
      </c>
      <c r="G22" s="800">
        <v>4.2</v>
      </c>
      <c r="H22" s="799">
        <v>975</v>
      </c>
      <c r="I22" s="799">
        <v>264</v>
      </c>
      <c r="J22" s="16">
        <v>35</v>
      </c>
      <c r="K22" s="2"/>
      <c r="Q22" s="2"/>
      <c r="R22" s="108" t="s">
        <v>205</v>
      </c>
      <c r="S22" s="109" t="s">
        <v>206</v>
      </c>
      <c r="T22" s="110" t="s">
        <v>1794</v>
      </c>
      <c r="U22" s="111" t="s">
        <v>1795</v>
      </c>
      <c r="V22" s="112"/>
      <c r="W22" s="2"/>
      <c r="X22" s="2"/>
      <c r="Y22" s="2"/>
      <c r="Z22" s="2"/>
      <c r="AA22" s="2"/>
    </row>
    <row r="23" spans="2:27">
      <c r="B23" s="14"/>
      <c r="C23" s="18" t="s">
        <v>132</v>
      </c>
      <c r="D23" s="798">
        <v>8</v>
      </c>
      <c r="E23" s="798">
        <v>111.84</v>
      </c>
      <c r="F23" s="799">
        <v>32</v>
      </c>
      <c r="G23" s="800">
        <v>4.2</v>
      </c>
      <c r="H23" s="799">
        <v>895</v>
      </c>
      <c r="I23" s="799">
        <v>256</v>
      </c>
      <c r="J23" s="16">
        <v>34</v>
      </c>
      <c r="K23" s="2"/>
      <c r="Q23" s="2"/>
      <c r="R23" s="113" t="s">
        <v>209</v>
      </c>
      <c r="S23" s="114" t="s">
        <v>210</v>
      </c>
      <c r="T23" s="115">
        <v>0.1696</v>
      </c>
      <c r="U23" s="116">
        <v>1.9699999999999999E-2</v>
      </c>
      <c r="V23" s="112"/>
      <c r="W23" s="112"/>
      <c r="X23" s="2"/>
      <c r="Y23" s="2"/>
      <c r="Z23" s="2"/>
      <c r="AA23" s="2"/>
    </row>
    <row r="24" spans="2:27">
      <c r="B24" s="14"/>
      <c r="C24" s="18" t="s">
        <v>133</v>
      </c>
      <c r="D24" s="798">
        <v>10.39</v>
      </c>
      <c r="E24" s="798">
        <v>105.51</v>
      </c>
      <c r="F24" s="799">
        <v>32</v>
      </c>
      <c r="G24" s="800">
        <v>4.2</v>
      </c>
      <c r="H24" s="799">
        <v>1096</v>
      </c>
      <c r="I24" s="799">
        <v>332</v>
      </c>
      <c r="J24" s="16">
        <v>44</v>
      </c>
      <c r="K24" s="2"/>
      <c r="Q24" s="2"/>
      <c r="R24" s="117"/>
      <c r="S24" s="118">
        <v>1975</v>
      </c>
      <c r="T24" s="119">
        <v>0.14230000000000001</v>
      </c>
      <c r="U24" s="120">
        <v>4.4299999999999999E-2</v>
      </c>
      <c r="V24" s="112"/>
      <c r="W24" s="112"/>
      <c r="X24" s="2"/>
      <c r="Y24" s="2"/>
      <c r="Z24" s="2"/>
      <c r="AA24" s="2"/>
    </row>
    <row r="25" spans="2:27">
      <c r="B25" s="14"/>
      <c r="C25" s="18" t="s">
        <v>134</v>
      </c>
      <c r="D25" s="798">
        <v>17.48</v>
      </c>
      <c r="E25" s="798">
        <v>93.8</v>
      </c>
      <c r="F25" s="800">
        <v>7.2</v>
      </c>
      <c r="G25" s="800">
        <v>3.6</v>
      </c>
      <c r="H25" s="799">
        <v>1640</v>
      </c>
      <c r="I25" s="799">
        <v>126</v>
      </c>
      <c r="J25" s="16">
        <v>63</v>
      </c>
      <c r="K25" s="2"/>
      <c r="Q25" s="2"/>
      <c r="R25" s="117"/>
      <c r="S25" s="118" t="s">
        <v>211</v>
      </c>
      <c r="T25" s="119">
        <v>0.1406</v>
      </c>
      <c r="U25" s="120">
        <v>4.58E-2</v>
      </c>
      <c r="V25" s="112"/>
      <c r="W25" s="112"/>
      <c r="X25" s="2"/>
      <c r="Y25" s="2"/>
      <c r="Z25" s="2"/>
      <c r="AA25" s="2"/>
    </row>
    <row r="26" spans="2:27" ht="37.5">
      <c r="B26" s="8"/>
      <c r="C26" s="9"/>
      <c r="D26" s="805" t="s">
        <v>136</v>
      </c>
      <c r="E26" s="805" t="s">
        <v>1785</v>
      </c>
      <c r="F26" s="805" t="s">
        <v>1786</v>
      </c>
      <c r="G26" s="805" t="s">
        <v>1787</v>
      </c>
      <c r="H26" s="805" t="s">
        <v>1796</v>
      </c>
      <c r="I26" s="805" t="s">
        <v>1797</v>
      </c>
      <c r="J26" s="28" t="s">
        <v>1798</v>
      </c>
      <c r="K26" s="2"/>
      <c r="Q26" s="2"/>
      <c r="R26" s="117"/>
      <c r="S26" s="118" t="s">
        <v>212</v>
      </c>
      <c r="T26" s="119">
        <v>0.1389</v>
      </c>
      <c r="U26" s="120">
        <v>4.7300000000000002E-2</v>
      </c>
      <c r="V26" s="112"/>
      <c r="W26" s="112"/>
      <c r="X26" s="2"/>
      <c r="Y26" s="2"/>
      <c r="Z26" s="2"/>
      <c r="AA26" s="2"/>
    </row>
    <row r="27" spans="2:27" ht="25.5">
      <c r="B27" s="11"/>
      <c r="C27" s="806" t="s">
        <v>137</v>
      </c>
      <c r="D27" s="29"/>
      <c r="E27" s="30"/>
      <c r="F27" s="31"/>
      <c r="G27" s="31"/>
      <c r="H27" s="32"/>
      <c r="I27" s="32"/>
      <c r="J27" s="33"/>
      <c r="K27" s="2"/>
      <c r="Q27" s="2"/>
      <c r="R27" s="117"/>
      <c r="S27" s="118">
        <v>1980</v>
      </c>
      <c r="T27" s="119">
        <v>0.1326</v>
      </c>
      <c r="U27" s="120">
        <v>4.99E-2</v>
      </c>
      <c r="V27" s="112"/>
      <c r="W27" s="112"/>
      <c r="X27" s="2"/>
      <c r="Y27" s="2"/>
      <c r="Z27" s="2"/>
      <c r="AA27" s="2"/>
    </row>
    <row r="28" spans="2:27">
      <c r="B28" s="14"/>
      <c r="C28" s="15" t="s">
        <v>137</v>
      </c>
      <c r="D28" s="807">
        <v>1.026E-3</v>
      </c>
      <c r="E28" s="808">
        <v>53.06</v>
      </c>
      <c r="F28" s="809">
        <v>1</v>
      </c>
      <c r="G28" s="808">
        <v>0.1</v>
      </c>
      <c r="H28" s="810">
        <v>5.4440000000000002E-2</v>
      </c>
      <c r="I28" s="810">
        <v>1.0300000000000001E-3</v>
      </c>
      <c r="J28" s="34">
        <v>1E-4</v>
      </c>
      <c r="K28" s="2" t="s">
        <v>1479</v>
      </c>
      <c r="Q28" s="2"/>
      <c r="R28" s="117"/>
      <c r="S28" s="118">
        <v>1981</v>
      </c>
      <c r="T28" s="119">
        <v>8.0199999999999994E-2</v>
      </c>
      <c r="U28" s="120">
        <v>6.2600000000000003E-2</v>
      </c>
      <c r="V28" s="112"/>
      <c r="W28" s="112"/>
      <c r="X28" s="2"/>
      <c r="Y28" s="2"/>
      <c r="Z28" s="2"/>
      <c r="AA28" s="2"/>
    </row>
    <row r="29" spans="2:27">
      <c r="B29" s="11"/>
      <c r="C29" s="35" t="s">
        <v>138</v>
      </c>
      <c r="D29" s="36"/>
      <c r="E29" s="36"/>
      <c r="F29" s="36"/>
      <c r="G29" s="36"/>
      <c r="H29" s="37"/>
      <c r="I29" s="38"/>
      <c r="J29" s="39"/>
      <c r="K29" s="2"/>
      <c r="Q29" s="2"/>
      <c r="R29" s="117"/>
      <c r="S29" s="118">
        <v>1982</v>
      </c>
      <c r="T29" s="119">
        <v>7.9500000000000001E-2</v>
      </c>
      <c r="U29" s="120">
        <v>6.2700000000000006E-2</v>
      </c>
      <c r="V29" s="112"/>
      <c r="W29" s="112"/>
      <c r="X29" s="2"/>
      <c r="Y29" s="2"/>
      <c r="Z29" s="2"/>
      <c r="AA29" s="2"/>
    </row>
    <row r="30" spans="2:27">
      <c r="B30" s="14"/>
      <c r="C30" s="18" t="s">
        <v>139</v>
      </c>
      <c r="D30" s="807">
        <v>9.2E-5</v>
      </c>
      <c r="E30" s="798">
        <v>274.32</v>
      </c>
      <c r="F30" s="811">
        <v>2.2000000000000002E-2</v>
      </c>
      <c r="G30" s="798">
        <v>0.1</v>
      </c>
      <c r="H30" s="810">
        <v>2.5239999999999999E-2</v>
      </c>
      <c r="I30" s="807">
        <v>1.9999999999999999E-6</v>
      </c>
      <c r="J30" s="40">
        <v>9.0000000000000002E-6</v>
      </c>
      <c r="K30" s="2"/>
      <c r="Q30" s="2"/>
      <c r="R30" s="117"/>
      <c r="S30" s="118">
        <v>1983</v>
      </c>
      <c r="T30" s="119">
        <v>7.8200000000000006E-2</v>
      </c>
      <c r="U30" s="120">
        <v>6.3E-2</v>
      </c>
      <c r="V30" s="112"/>
      <c r="W30" s="112"/>
      <c r="X30" s="2"/>
      <c r="Y30" s="2"/>
      <c r="Z30" s="2"/>
      <c r="AA30" s="2"/>
    </row>
    <row r="31" spans="2:27">
      <c r="B31" s="14"/>
      <c r="C31" s="18" t="s">
        <v>140</v>
      </c>
      <c r="D31" s="807">
        <v>5.9900000000000003E-4</v>
      </c>
      <c r="E31" s="798">
        <v>46.85</v>
      </c>
      <c r="F31" s="798">
        <v>0.48</v>
      </c>
      <c r="G31" s="798">
        <v>0.1</v>
      </c>
      <c r="H31" s="810">
        <v>2.8060000000000002E-2</v>
      </c>
      <c r="I31" s="807">
        <v>2.8800000000000001E-4</v>
      </c>
      <c r="J31" s="40">
        <v>6.0000000000000002E-5</v>
      </c>
      <c r="K31" s="2"/>
      <c r="Q31" s="2"/>
      <c r="R31" s="117"/>
      <c r="S31" s="118" t="s">
        <v>213</v>
      </c>
      <c r="T31" s="119">
        <v>7.0400000000000004E-2</v>
      </c>
      <c r="U31" s="120">
        <v>6.4699999999999994E-2</v>
      </c>
      <c r="V31" s="112"/>
      <c r="W31" s="112"/>
      <c r="X31" s="2"/>
      <c r="Y31" s="2"/>
      <c r="Z31" s="2"/>
      <c r="AA31" s="2"/>
    </row>
    <row r="32" spans="2:27">
      <c r="B32" s="14"/>
      <c r="C32" s="18" t="s">
        <v>141</v>
      </c>
      <c r="D32" s="807">
        <v>1.3879999999999999E-3</v>
      </c>
      <c r="E32" s="812">
        <v>59</v>
      </c>
      <c r="F32" s="800">
        <v>3</v>
      </c>
      <c r="G32" s="798">
        <v>0.6</v>
      </c>
      <c r="H32" s="810">
        <v>8.1890000000000004E-2</v>
      </c>
      <c r="I32" s="807">
        <v>4.1640000000000002E-3</v>
      </c>
      <c r="J32" s="40">
        <v>8.3299999999999997E-4</v>
      </c>
      <c r="K32" s="2"/>
      <c r="Q32" s="2"/>
      <c r="R32" s="117"/>
      <c r="S32" s="813">
        <v>1994</v>
      </c>
      <c r="T32" s="814">
        <v>5.3100000000000001E-2</v>
      </c>
      <c r="U32" s="121">
        <v>5.6000000000000001E-2</v>
      </c>
      <c r="V32" s="112"/>
      <c r="W32" s="112"/>
      <c r="X32" s="2"/>
      <c r="Y32" s="2"/>
      <c r="Z32" s="2"/>
      <c r="AA32" s="2"/>
    </row>
    <row r="33" spans="2:27">
      <c r="B33" s="14"/>
      <c r="C33" s="18" t="s">
        <v>142</v>
      </c>
      <c r="D33" s="807">
        <v>2.516E-3</v>
      </c>
      <c r="E33" s="812">
        <v>61.46</v>
      </c>
      <c r="F33" s="815">
        <v>3</v>
      </c>
      <c r="G33" s="802">
        <v>0.6</v>
      </c>
      <c r="H33" s="810">
        <v>0.15462999999999999</v>
      </c>
      <c r="I33" s="807">
        <v>7.548E-3</v>
      </c>
      <c r="J33" s="40">
        <v>1.5100000000000001E-3</v>
      </c>
      <c r="K33" s="41"/>
      <c r="Q33" s="2"/>
      <c r="R33" s="117"/>
      <c r="S33" s="813">
        <v>1995</v>
      </c>
      <c r="T33" s="814">
        <v>3.5799999999999998E-2</v>
      </c>
      <c r="U33" s="121">
        <v>4.7300000000000002E-2</v>
      </c>
      <c r="V33" s="112"/>
      <c r="W33" s="112"/>
      <c r="X33" s="2"/>
      <c r="Y33" s="2"/>
      <c r="Z33" s="2"/>
      <c r="AA33" s="2"/>
    </row>
    <row r="34" spans="2:27">
      <c r="B34" s="11"/>
      <c r="C34" s="20" t="s">
        <v>143</v>
      </c>
      <c r="D34" s="36"/>
      <c r="E34" s="36"/>
      <c r="F34" s="42"/>
      <c r="G34" s="42"/>
      <c r="H34" s="38"/>
      <c r="I34" s="38"/>
      <c r="J34" s="39"/>
      <c r="K34" s="2"/>
      <c r="Q34" s="2"/>
      <c r="R34" s="117"/>
      <c r="S34" s="813">
        <v>1996</v>
      </c>
      <c r="T34" s="814">
        <v>2.7199999999999998E-2</v>
      </c>
      <c r="U34" s="121">
        <v>4.2599999999999999E-2</v>
      </c>
      <c r="V34" s="112"/>
      <c r="W34" s="112"/>
      <c r="X34" s="2"/>
      <c r="Y34" s="2"/>
      <c r="Z34" s="2"/>
      <c r="AA34" s="2"/>
    </row>
    <row r="35" spans="2:27">
      <c r="B35" s="14"/>
      <c r="C35" s="43" t="s">
        <v>144</v>
      </c>
      <c r="D35" s="816">
        <v>4.8500000000000003E-4</v>
      </c>
      <c r="E35" s="817">
        <v>52.07</v>
      </c>
      <c r="F35" s="818">
        <v>3.2</v>
      </c>
      <c r="G35" s="817">
        <v>0.63</v>
      </c>
      <c r="H35" s="807">
        <v>2.5253999999999999E-2</v>
      </c>
      <c r="I35" s="807">
        <v>1.552E-3</v>
      </c>
      <c r="J35" s="40">
        <v>3.0600000000000001E-4</v>
      </c>
      <c r="K35" s="2"/>
      <c r="Q35" s="2"/>
      <c r="R35" s="117"/>
      <c r="S35" s="813">
        <v>1997</v>
      </c>
      <c r="T35" s="814">
        <v>2.6800000000000001E-2</v>
      </c>
      <c r="U35" s="121">
        <v>4.2200000000000001E-2</v>
      </c>
      <c r="V35" s="112"/>
      <c r="W35" s="112"/>
      <c r="X35" s="2"/>
      <c r="Y35" s="2"/>
      <c r="Z35" s="2"/>
      <c r="AA35" s="2"/>
    </row>
    <row r="36" spans="2:27">
      <c r="B36" s="14"/>
      <c r="C36" s="43" t="s">
        <v>145</v>
      </c>
      <c r="D36" s="816">
        <v>6.5499999999999998E-4</v>
      </c>
      <c r="E36" s="817">
        <v>52.07</v>
      </c>
      <c r="F36" s="818">
        <v>3.2</v>
      </c>
      <c r="G36" s="817">
        <v>0.63</v>
      </c>
      <c r="H36" s="807">
        <v>3.4105999999999997E-2</v>
      </c>
      <c r="I36" s="807">
        <v>2.0960000000000002E-3</v>
      </c>
      <c r="J36" s="40">
        <v>4.1300000000000001E-4</v>
      </c>
      <c r="K36" s="2"/>
      <c r="Q36" s="2"/>
      <c r="R36" s="117"/>
      <c r="S36" s="813">
        <v>1998</v>
      </c>
      <c r="T36" s="819">
        <v>2.41E-2</v>
      </c>
      <c r="U36" s="122">
        <v>3.7900000000000003E-2</v>
      </c>
      <c r="V36" s="112"/>
      <c r="W36" s="112"/>
      <c r="X36" s="2"/>
      <c r="Y36" s="2"/>
      <c r="Z36" s="2"/>
      <c r="AA36" s="2"/>
    </row>
    <row r="37" spans="2:27" ht="37.5">
      <c r="B37" s="8"/>
      <c r="C37" s="9"/>
      <c r="D37" s="805" t="s">
        <v>147</v>
      </c>
      <c r="E37" s="805" t="s">
        <v>1785</v>
      </c>
      <c r="F37" s="805" t="s">
        <v>1786</v>
      </c>
      <c r="G37" s="805" t="s">
        <v>1787</v>
      </c>
      <c r="H37" s="805" t="s">
        <v>1799</v>
      </c>
      <c r="I37" s="805" t="s">
        <v>1800</v>
      </c>
      <c r="J37" s="28" t="s">
        <v>1801</v>
      </c>
      <c r="K37" s="2"/>
      <c r="Q37" s="2"/>
      <c r="R37" s="117"/>
      <c r="S37" s="813">
        <v>1999</v>
      </c>
      <c r="T37" s="819">
        <v>2.1600000000000001E-2</v>
      </c>
      <c r="U37" s="122">
        <v>3.3700000000000001E-2</v>
      </c>
      <c r="V37" s="112"/>
      <c r="W37" s="112"/>
      <c r="X37" s="2"/>
      <c r="Y37" s="2"/>
      <c r="Z37" s="2"/>
      <c r="AA37" s="2"/>
    </row>
    <row r="38" spans="2:27">
      <c r="B38" s="44"/>
      <c r="C38" s="820" t="s">
        <v>146</v>
      </c>
      <c r="D38" s="45"/>
      <c r="E38" s="45"/>
      <c r="F38" s="45"/>
      <c r="G38" s="45"/>
      <c r="H38" s="45"/>
      <c r="I38" s="45"/>
      <c r="J38" s="46"/>
      <c r="K38" s="2"/>
      <c r="Q38" s="2"/>
      <c r="R38" s="117"/>
      <c r="S38" s="813">
        <v>2000</v>
      </c>
      <c r="T38" s="819">
        <v>1.78E-2</v>
      </c>
      <c r="U38" s="122">
        <v>2.7300000000000001E-2</v>
      </c>
      <c r="V38" s="112"/>
      <c r="W38" s="112"/>
      <c r="X38" s="2"/>
      <c r="Y38" s="2"/>
      <c r="Z38" s="2"/>
      <c r="AA38" s="2"/>
    </row>
    <row r="39" spans="2:27">
      <c r="B39" s="14"/>
      <c r="C39" s="18" t="s">
        <v>148</v>
      </c>
      <c r="D39" s="811">
        <v>0.158</v>
      </c>
      <c r="E39" s="798">
        <v>75.36</v>
      </c>
      <c r="F39" s="800">
        <v>3</v>
      </c>
      <c r="G39" s="798">
        <v>0.6</v>
      </c>
      <c r="H39" s="798">
        <v>11.91</v>
      </c>
      <c r="I39" s="798">
        <v>0.47</v>
      </c>
      <c r="J39" s="47">
        <v>0.09</v>
      </c>
      <c r="K39" s="2"/>
      <c r="Q39" s="2"/>
      <c r="R39" s="117"/>
      <c r="S39" s="813">
        <v>2001</v>
      </c>
      <c r="T39" s="819">
        <v>1.0999999999999999E-2</v>
      </c>
      <c r="U39" s="122">
        <v>1.5800000000000002E-2</v>
      </c>
      <c r="V39" s="112"/>
      <c r="W39" s="112"/>
      <c r="X39" s="2"/>
      <c r="Y39" s="2"/>
      <c r="Z39" s="2"/>
      <c r="AA39" s="2"/>
    </row>
    <row r="40" spans="2:27">
      <c r="B40" s="14"/>
      <c r="C40" s="48" t="s">
        <v>149</v>
      </c>
      <c r="D40" s="811">
        <v>0.12</v>
      </c>
      <c r="E40" s="798">
        <v>69.25</v>
      </c>
      <c r="F40" s="800">
        <v>3</v>
      </c>
      <c r="G40" s="798">
        <v>0.6</v>
      </c>
      <c r="H40" s="808">
        <v>8.31</v>
      </c>
      <c r="I40" s="808">
        <v>0.36</v>
      </c>
      <c r="J40" s="49">
        <v>7.0000000000000007E-2</v>
      </c>
      <c r="K40" s="2"/>
      <c r="Q40" s="2"/>
      <c r="R40" s="117"/>
      <c r="S40" s="813">
        <v>2002</v>
      </c>
      <c r="T40" s="819">
        <v>1.0699999999999999E-2</v>
      </c>
      <c r="U40" s="122">
        <v>1.5299999999999999E-2</v>
      </c>
      <c r="V40" s="112"/>
      <c r="W40" s="112"/>
      <c r="X40" s="2"/>
      <c r="Y40" s="2"/>
      <c r="Z40" s="2"/>
      <c r="AA40" s="2"/>
    </row>
    <row r="41" spans="2:27">
      <c r="B41" s="14"/>
      <c r="C41" s="18" t="s">
        <v>150</v>
      </c>
      <c r="D41" s="811">
        <v>0.10299999999999999</v>
      </c>
      <c r="E41" s="798">
        <v>64.77</v>
      </c>
      <c r="F41" s="800">
        <v>3</v>
      </c>
      <c r="G41" s="798">
        <v>0.6</v>
      </c>
      <c r="H41" s="798">
        <v>6.67</v>
      </c>
      <c r="I41" s="798">
        <v>0.31</v>
      </c>
      <c r="J41" s="47">
        <v>0.06</v>
      </c>
      <c r="K41" s="2"/>
      <c r="Q41" s="2"/>
      <c r="R41" s="117"/>
      <c r="S41" s="813">
        <v>2003</v>
      </c>
      <c r="T41" s="819">
        <v>1.15E-2</v>
      </c>
      <c r="U41" s="122">
        <v>1.3299999999999999E-2</v>
      </c>
      <c r="V41" s="112"/>
      <c r="W41" s="112"/>
      <c r="X41" s="2"/>
      <c r="Y41" s="2"/>
      <c r="Z41" s="2"/>
      <c r="AA41" s="2"/>
    </row>
    <row r="42" spans="2:27">
      <c r="B42" s="14"/>
      <c r="C42" s="18" t="s">
        <v>151</v>
      </c>
      <c r="D42" s="811">
        <v>0.105</v>
      </c>
      <c r="E42" s="798">
        <v>68.72</v>
      </c>
      <c r="F42" s="800">
        <v>3</v>
      </c>
      <c r="G42" s="798">
        <v>0.6</v>
      </c>
      <c r="H42" s="798">
        <v>7.22</v>
      </c>
      <c r="I42" s="798">
        <v>0.32</v>
      </c>
      <c r="J42" s="47">
        <v>0.06</v>
      </c>
      <c r="K42" s="2"/>
      <c r="Q42" s="2"/>
      <c r="R42" s="117"/>
      <c r="S42" s="813">
        <v>2004</v>
      </c>
      <c r="T42" s="819">
        <v>1.5699999999999999E-2</v>
      </c>
      <c r="U42" s="122">
        <v>6.3E-3</v>
      </c>
      <c r="V42" s="112"/>
      <c r="W42" s="112"/>
      <c r="X42" s="2"/>
      <c r="Y42" s="2"/>
      <c r="Z42" s="2"/>
      <c r="AA42" s="2"/>
    </row>
    <row r="43" spans="2:27">
      <c r="B43" s="14"/>
      <c r="C43" s="18" t="s">
        <v>152</v>
      </c>
      <c r="D43" s="811">
        <v>0.13800000000000001</v>
      </c>
      <c r="E43" s="798">
        <v>74.540000000000006</v>
      </c>
      <c r="F43" s="800">
        <v>3</v>
      </c>
      <c r="G43" s="798">
        <v>0.6</v>
      </c>
      <c r="H43" s="798">
        <v>10.29</v>
      </c>
      <c r="I43" s="798">
        <v>0.41</v>
      </c>
      <c r="J43" s="47">
        <v>0.08</v>
      </c>
      <c r="K43" s="2"/>
      <c r="Q43" s="2"/>
      <c r="R43" s="117"/>
      <c r="S43" s="813">
        <v>2005</v>
      </c>
      <c r="T43" s="819">
        <v>1.6400000000000001E-2</v>
      </c>
      <c r="U43" s="122">
        <v>5.1000000000000004E-3</v>
      </c>
      <c r="V43" s="112"/>
      <c r="W43" s="112"/>
      <c r="X43" s="2"/>
      <c r="Y43" s="2"/>
      <c r="Z43" s="2"/>
      <c r="AA43" s="2"/>
    </row>
    <row r="44" spans="2:27">
      <c r="B44" s="14"/>
      <c r="C44" s="18" t="s">
        <v>153</v>
      </c>
      <c r="D44" s="811">
        <v>0.13900000000000001</v>
      </c>
      <c r="E44" s="798">
        <v>73.25</v>
      </c>
      <c r="F44" s="800">
        <v>3</v>
      </c>
      <c r="G44" s="798">
        <v>0.6</v>
      </c>
      <c r="H44" s="798">
        <v>10.18</v>
      </c>
      <c r="I44" s="798">
        <v>0.42</v>
      </c>
      <c r="J44" s="47">
        <v>0.08</v>
      </c>
      <c r="K44" s="2"/>
      <c r="Q44" s="2"/>
      <c r="R44" s="117"/>
      <c r="S44" s="813">
        <v>2006</v>
      </c>
      <c r="T44" s="814">
        <v>1.61E-2</v>
      </c>
      <c r="U44" s="121">
        <v>5.7000000000000002E-3</v>
      </c>
      <c r="V44" s="112"/>
      <c r="W44" s="112"/>
      <c r="X44" s="2"/>
      <c r="Y44" s="2"/>
      <c r="Z44" s="2"/>
      <c r="AA44" s="2"/>
    </row>
    <row r="45" spans="2:27">
      <c r="B45" s="14"/>
      <c r="C45" s="48" t="s">
        <v>154</v>
      </c>
      <c r="D45" s="811">
        <v>0.13800000000000001</v>
      </c>
      <c r="E45" s="798">
        <v>73.959999999999994</v>
      </c>
      <c r="F45" s="800">
        <v>3</v>
      </c>
      <c r="G45" s="798">
        <v>0.6</v>
      </c>
      <c r="H45" s="808">
        <v>10.210000000000001</v>
      </c>
      <c r="I45" s="808">
        <v>0.41</v>
      </c>
      <c r="J45" s="49">
        <v>0.08</v>
      </c>
      <c r="K45" s="2"/>
      <c r="Q45" s="2"/>
      <c r="R45" s="117"/>
      <c r="S45" s="813">
        <v>2007</v>
      </c>
      <c r="T45" s="814">
        <v>1.7000000000000001E-2</v>
      </c>
      <c r="U45" s="121">
        <v>4.1000000000000003E-3</v>
      </c>
      <c r="V45" s="112"/>
      <c r="W45" s="112"/>
      <c r="X45" s="2"/>
      <c r="Y45" s="2"/>
      <c r="Z45" s="2"/>
      <c r="AA45" s="2"/>
    </row>
    <row r="46" spans="2:27">
      <c r="B46" s="14"/>
      <c r="C46" s="18" t="s">
        <v>155</v>
      </c>
      <c r="D46" s="811">
        <v>0.14599999999999999</v>
      </c>
      <c r="E46" s="798">
        <v>75.040000000000006</v>
      </c>
      <c r="F46" s="800">
        <v>3</v>
      </c>
      <c r="G46" s="798">
        <v>0.6</v>
      </c>
      <c r="H46" s="798">
        <v>10.96</v>
      </c>
      <c r="I46" s="798">
        <v>0.44</v>
      </c>
      <c r="J46" s="47">
        <v>0.09</v>
      </c>
      <c r="K46" s="2"/>
      <c r="Q46" s="2"/>
      <c r="R46" s="117"/>
      <c r="S46" s="813">
        <v>2008</v>
      </c>
      <c r="T46" s="814">
        <v>1.72E-2</v>
      </c>
      <c r="U46" s="121">
        <v>3.8E-3</v>
      </c>
      <c r="V46" s="112"/>
      <c r="W46" s="112"/>
      <c r="X46" s="2"/>
      <c r="Y46" s="2"/>
      <c r="Z46" s="2"/>
      <c r="AA46" s="2"/>
    </row>
    <row r="47" spans="2:27" ht="15.75" thickBot="1">
      <c r="B47" s="14"/>
      <c r="C47" s="18" t="s">
        <v>156</v>
      </c>
      <c r="D47" s="811">
        <v>6.8000000000000005E-2</v>
      </c>
      <c r="E47" s="798">
        <v>59.6</v>
      </c>
      <c r="F47" s="800">
        <v>3</v>
      </c>
      <c r="G47" s="798">
        <v>0.6</v>
      </c>
      <c r="H47" s="798">
        <v>4.05</v>
      </c>
      <c r="I47" s="798">
        <v>0.2</v>
      </c>
      <c r="J47" s="47">
        <v>0.04</v>
      </c>
      <c r="K47" s="2"/>
      <c r="Q47" s="2"/>
      <c r="R47" s="123"/>
      <c r="S47" s="124" t="s">
        <v>214</v>
      </c>
      <c r="T47" s="125">
        <v>1.7299999999999999E-2</v>
      </c>
      <c r="U47" s="126">
        <v>3.5999999999999999E-3</v>
      </c>
      <c r="V47" s="112"/>
      <c r="W47" s="112"/>
      <c r="X47" s="2"/>
      <c r="Y47" s="2"/>
      <c r="Z47" s="2"/>
      <c r="AA47" s="2"/>
    </row>
    <row r="48" spans="2:27">
      <c r="B48" s="14"/>
      <c r="C48" s="18" t="s">
        <v>157</v>
      </c>
      <c r="D48" s="811">
        <v>5.8000000000000003E-2</v>
      </c>
      <c r="E48" s="798">
        <v>65.959999999999994</v>
      </c>
      <c r="F48" s="800">
        <v>3</v>
      </c>
      <c r="G48" s="798">
        <v>0.6</v>
      </c>
      <c r="H48" s="798">
        <v>3.83</v>
      </c>
      <c r="I48" s="798">
        <v>0.17</v>
      </c>
      <c r="J48" s="47">
        <v>0.03</v>
      </c>
      <c r="K48" s="2"/>
      <c r="Q48" s="2"/>
      <c r="R48" s="113" t="s">
        <v>215</v>
      </c>
      <c r="S48" s="114" t="s">
        <v>210</v>
      </c>
      <c r="T48" s="115">
        <v>0.1908</v>
      </c>
      <c r="U48" s="116">
        <v>2.18E-2</v>
      </c>
      <c r="V48" s="112"/>
      <c r="W48" s="112"/>
      <c r="X48" s="2"/>
      <c r="Y48" s="2"/>
      <c r="Z48" s="2"/>
      <c r="AA48" s="2"/>
    </row>
    <row r="49" spans="2:27">
      <c r="B49" s="14"/>
      <c r="C49" s="18" t="s">
        <v>158</v>
      </c>
      <c r="D49" s="811">
        <v>0.14799999999999999</v>
      </c>
      <c r="E49" s="798">
        <v>74.92</v>
      </c>
      <c r="F49" s="800">
        <v>3</v>
      </c>
      <c r="G49" s="798">
        <v>0.6</v>
      </c>
      <c r="H49" s="798">
        <v>11.09</v>
      </c>
      <c r="I49" s="798">
        <v>0.44</v>
      </c>
      <c r="J49" s="47">
        <v>0.09</v>
      </c>
      <c r="K49" s="2"/>
      <c r="Q49" s="2"/>
      <c r="R49" s="117" t="s">
        <v>216</v>
      </c>
      <c r="S49" s="813">
        <v>1975</v>
      </c>
      <c r="T49" s="814">
        <v>0.16339999999999999</v>
      </c>
      <c r="U49" s="121">
        <v>5.1299999999999998E-2</v>
      </c>
      <c r="V49" s="112"/>
      <c r="W49" s="112"/>
      <c r="X49" s="2"/>
      <c r="Y49" s="2"/>
      <c r="Z49" s="2"/>
      <c r="AA49" s="2"/>
    </row>
    <row r="50" spans="2:27">
      <c r="B50" s="14"/>
      <c r="C50" s="18" t="s">
        <v>159</v>
      </c>
      <c r="D50" s="811">
        <v>9.9000000000000005E-2</v>
      </c>
      <c r="E50" s="798">
        <v>64.94</v>
      </c>
      <c r="F50" s="800">
        <v>3</v>
      </c>
      <c r="G50" s="798">
        <v>0.6</v>
      </c>
      <c r="H50" s="798">
        <v>6.43</v>
      </c>
      <c r="I50" s="798">
        <v>0.3</v>
      </c>
      <c r="J50" s="47">
        <v>0.06</v>
      </c>
      <c r="K50" s="2"/>
      <c r="Q50" s="2"/>
      <c r="R50" s="117"/>
      <c r="S50" s="813">
        <v>1976</v>
      </c>
      <c r="T50" s="814">
        <v>0.15939999999999999</v>
      </c>
      <c r="U50" s="121">
        <v>5.5500000000000001E-2</v>
      </c>
      <c r="V50" s="112"/>
      <c r="W50" s="112"/>
      <c r="X50" s="2"/>
      <c r="Y50" s="2"/>
      <c r="Z50" s="2"/>
      <c r="AA50" s="2"/>
    </row>
    <row r="51" spans="2:27">
      <c r="B51" s="14"/>
      <c r="C51" s="18" t="s">
        <v>160</v>
      </c>
      <c r="D51" s="811">
        <v>0.10299999999999999</v>
      </c>
      <c r="E51" s="798">
        <v>68.86</v>
      </c>
      <c r="F51" s="800">
        <v>3</v>
      </c>
      <c r="G51" s="798">
        <v>0.6</v>
      </c>
      <c r="H51" s="798">
        <v>7.09</v>
      </c>
      <c r="I51" s="798">
        <v>0.31</v>
      </c>
      <c r="J51" s="47">
        <v>0.06</v>
      </c>
      <c r="K51" s="2"/>
      <c r="Q51" s="2"/>
      <c r="R51" s="117"/>
      <c r="S51" s="813" t="s">
        <v>217</v>
      </c>
      <c r="T51" s="814">
        <v>0.16139999999999999</v>
      </c>
      <c r="U51" s="121">
        <v>5.3400000000000003E-2</v>
      </c>
      <c r="V51" s="112"/>
      <c r="W51" s="112"/>
      <c r="X51" s="2"/>
      <c r="Y51" s="2"/>
      <c r="Z51" s="2"/>
      <c r="AA51" s="2"/>
    </row>
    <row r="52" spans="2:27">
      <c r="B52" s="14"/>
      <c r="C52" s="48" t="s">
        <v>161</v>
      </c>
      <c r="D52" s="811">
        <v>0.13500000000000001</v>
      </c>
      <c r="E52" s="798">
        <v>75.2</v>
      </c>
      <c r="F52" s="800">
        <v>3</v>
      </c>
      <c r="G52" s="798">
        <v>0.6</v>
      </c>
      <c r="H52" s="808">
        <v>10.15</v>
      </c>
      <c r="I52" s="808">
        <v>0.41</v>
      </c>
      <c r="J52" s="49">
        <v>0.08</v>
      </c>
      <c r="K52" s="2"/>
      <c r="Q52" s="2"/>
      <c r="R52" s="117"/>
      <c r="S52" s="813" t="s">
        <v>218</v>
      </c>
      <c r="T52" s="814">
        <v>0.15939999999999999</v>
      </c>
      <c r="U52" s="121">
        <v>5.5500000000000001E-2</v>
      </c>
      <c r="V52" s="112"/>
      <c r="W52" s="112"/>
      <c r="X52" s="2"/>
      <c r="Y52" s="2"/>
      <c r="Z52" s="2"/>
      <c r="AA52" s="2"/>
    </row>
    <row r="53" spans="2:27">
      <c r="B53" s="14"/>
      <c r="C53" s="48" t="s">
        <v>162</v>
      </c>
      <c r="D53" s="811">
        <v>0.13500000000000001</v>
      </c>
      <c r="E53" s="798">
        <v>72.22</v>
      </c>
      <c r="F53" s="800">
        <v>3</v>
      </c>
      <c r="G53" s="798">
        <v>0.6</v>
      </c>
      <c r="H53" s="808">
        <v>9.75</v>
      </c>
      <c r="I53" s="808">
        <v>0.41</v>
      </c>
      <c r="J53" s="49">
        <v>0.08</v>
      </c>
      <c r="K53" s="2"/>
      <c r="Q53" s="2"/>
      <c r="R53" s="117"/>
      <c r="S53" s="813">
        <v>1981</v>
      </c>
      <c r="T53" s="814">
        <v>0.1479</v>
      </c>
      <c r="U53" s="121">
        <v>6.6000000000000003E-2</v>
      </c>
      <c r="V53" s="112"/>
      <c r="W53" s="112"/>
      <c r="X53" s="2"/>
      <c r="Y53" s="2"/>
      <c r="Z53" s="2"/>
      <c r="AA53" s="2"/>
    </row>
    <row r="54" spans="2:27">
      <c r="B54" s="14"/>
      <c r="C54" s="48" t="s">
        <v>163</v>
      </c>
      <c r="D54" s="811">
        <v>9.1999999999999998E-2</v>
      </c>
      <c r="E54" s="798">
        <v>61.71</v>
      </c>
      <c r="F54" s="800">
        <v>3</v>
      </c>
      <c r="G54" s="798">
        <v>0.6</v>
      </c>
      <c r="H54" s="808">
        <v>5.68</v>
      </c>
      <c r="I54" s="808">
        <v>0.28000000000000003</v>
      </c>
      <c r="J54" s="49">
        <v>0.06</v>
      </c>
      <c r="K54" s="2"/>
      <c r="Q54" s="2"/>
      <c r="R54" s="117"/>
      <c r="S54" s="813">
        <v>1982</v>
      </c>
      <c r="T54" s="814">
        <v>0.14419999999999999</v>
      </c>
      <c r="U54" s="121">
        <v>6.8099999999999994E-2</v>
      </c>
      <c r="V54" s="112"/>
      <c r="W54" s="112"/>
      <c r="X54" s="2"/>
      <c r="Y54" s="2"/>
      <c r="Z54" s="2"/>
      <c r="AA54" s="2"/>
    </row>
    <row r="55" spans="2:27">
      <c r="B55" s="14"/>
      <c r="C55" s="18" t="s">
        <v>164</v>
      </c>
      <c r="D55" s="811">
        <v>0.14399999999999999</v>
      </c>
      <c r="E55" s="798">
        <v>74.27</v>
      </c>
      <c r="F55" s="800">
        <v>3</v>
      </c>
      <c r="G55" s="798">
        <v>0.6</v>
      </c>
      <c r="H55" s="798">
        <v>10.69</v>
      </c>
      <c r="I55" s="798">
        <v>0.43</v>
      </c>
      <c r="J55" s="47">
        <v>0.09</v>
      </c>
      <c r="K55" s="2"/>
      <c r="Q55" s="2"/>
      <c r="R55" s="117"/>
      <c r="S55" s="813">
        <v>1983</v>
      </c>
      <c r="T55" s="814">
        <v>0.1368</v>
      </c>
      <c r="U55" s="121">
        <v>7.22E-2</v>
      </c>
      <c r="V55" s="112"/>
      <c r="W55" s="112"/>
      <c r="X55" s="2"/>
      <c r="Y55" s="2"/>
      <c r="Z55" s="2"/>
      <c r="AA55" s="2"/>
    </row>
    <row r="56" spans="2:27">
      <c r="B56" s="14"/>
      <c r="C56" s="48" t="s">
        <v>165</v>
      </c>
      <c r="D56" s="811">
        <v>0.125</v>
      </c>
      <c r="E56" s="798">
        <v>70.22</v>
      </c>
      <c r="F56" s="800">
        <v>3</v>
      </c>
      <c r="G56" s="798">
        <v>0.6</v>
      </c>
      <c r="H56" s="808">
        <v>8.7799999999999994</v>
      </c>
      <c r="I56" s="808">
        <v>0.38</v>
      </c>
      <c r="J56" s="49">
        <v>0.08</v>
      </c>
      <c r="K56" s="2"/>
      <c r="Q56" s="2"/>
      <c r="R56" s="117"/>
      <c r="S56" s="813">
        <v>1984</v>
      </c>
      <c r="T56" s="814">
        <v>0.12939999999999999</v>
      </c>
      <c r="U56" s="121">
        <v>7.6399999999999996E-2</v>
      </c>
      <c r="V56" s="112"/>
      <c r="W56" s="112"/>
      <c r="X56" s="2"/>
      <c r="Y56" s="2"/>
      <c r="Z56" s="2"/>
      <c r="AA56" s="2"/>
    </row>
    <row r="57" spans="2:27">
      <c r="B57" s="14"/>
      <c r="C57" s="18" t="s">
        <v>166</v>
      </c>
      <c r="D57" s="811">
        <v>0.125</v>
      </c>
      <c r="E57" s="798">
        <v>68.02</v>
      </c>
      <c r="F57" s="800">
        <v>3</v>
      </c>
      <c r="G57" s="798">
        <v>0.6</v>
      </c>
      <c r="H57" s="798">
        <v>8.5</v>
      </c>
      <c r="I57" s="798">
        <v>0.38</v>
      </c>
      <c r="J57" s="47">
        <v>0.08</v>
      </c>
      <c r="K57" s="2"/>
      <c r="Q57" s="2"/>
      <c r="R57" s="117"/>
      <c r="S57" s="813">
        <v>1985</v>
      </c>
      <c r="T57" s="814">
        <v>0.122</v>
      </c>
      <c r="U57" s="121">
        <v>8.0600000000000005E-2</v>
      </c>
      <c r="V57" s="112"/>
      <c r="W57" s="112"/>
      <c r="X57" s="2"/>
      <c r="Y57" s="2"/>
      <c r="Z57" s="2"/>
      <c r="AA57" s="2"/>
    </row>
    <row r="58" spans="2:27">
      <c r="B58" s="14"/>
      <c r="C58" s="18" t="s">
        <v>167</v>
      </c>
      <c r="D58" s="811">
        <v>0.11</v>
      </c>
      <c r="E58" s="798">
        <v>66.88</v>
      </c>
      <c r="F58" s="800">
        <v>3</v>
      </c>
      <c r="G58" s="798">
        <v>0.6</v>
      </c>
      <c r="H58" s="798">
        <v>7.36</v>
      </c>
      <c r="I58" s="798">
        <v>0.33</v>
      </c>
      <c r="J58" s="47">
        <v>7.0000000000000007E-2</v>
      </c>
      <c r="K58" s="2"/>
      <c r="Q58" s="2"/>
      <c r="R58" s="117"/>
      <c r="S58" s="813">
        <v>1986</v>
      </c>
      <c r="T58" s="814">
        <v>0.11459999999999999</v>
      </c>
      <c r="U58" s="121">
        <v>8.48E-2</v>
      </c>
      <c r="V58" s="112"/>
      <c r="W58" s="112"/>
      <c r="X58" s="2"/>
      <c r="Y58" s="2"/>
      <c r="Z58" s="2"/>
      <c r="AA58" s="2"/>
    </row>
    <row r="59" spans="2:27">
      <c r="B59" s="14"/>
      <c r="C59" s="18" t="s">
        <v>168</v>
      </c>
      <c r="D59" s="811">
        <v>0.13900000000000001</v>
      </c>
      <c r="E59" s="798">
        <v>76.22</v>
      </c>
      <c r="F59" s="800">
        <v>3</v>
      </c>
      <c r="G59" s="798">
        <v>0.6</v>
      </c>
      <c r="H59" s="798">
        <v>10.59</v>
      </c>
      <c r="I59" s="798">
        <v>0.42</v>
      </c>
      <c r="J59" s="47">
        <v>0.08</v>
      </c>
      <c r="K59" s="2"/>
      <c r="Q59" s="2"/>
      <c r="R59" s="117"/>
      <c r="S59" s="813" t="s">
        <v>219</v>
      </c>
      <c r="T59" s="814">
        <v>8.1299999999999997E-2</v>
      </c>
      <c r="U59" s="121">
        <v>0.10349999999999999</v>
      </c>
      <c r="V59" s="112"/>
      <c r="W59" s="112"/>
      <c r="X59" s="2"/>
      <c r="Y59" s="2"/>
      <c r="Z59" s="2"/>
      <c r="AA59" s="2"/>
    </row>
    <row r="60" spans="2:27">
      <c r="B60" s="14"/>
      <c r="C60" s="18" t="s">
        <v>169</v>
      </c>
      <c r="D60" s="811">
        <v>0.11</v>
      </c>
      <c r="E60" s="798">
        <v>70.02</v>
      </c>
      <c r="F60" s="800">
        <v>3</v>
      </c>
      <c r="G60" s="798">
        <v>0.6</v>
      </c>
      <c r="H60" s="798">
        <v>7.7</v>
      </c>
      <c r="I60" s="798">
        <v>0.33</v>
      </c>
      <c r="J60" s="47">
        <v>7.0000000000000007E-2</v>
      </c>
      <c r="K60" s="2"/>
      <c r="Q60" s="2"/>
      <c r="R60" s="117"/>
      <c r="S60" s="813">
        <v>1994</v>
      </c>
      <c r="T60" s="814">
        <v>6.4600000000000005E-2</v>
      </c>
      <c r="U60" s="121">
        <v>9.8199999999999996E-2</v>
      </c>
      <c r="V60" s="112"/>
      <c r="W60" s="112"/>
      <c r="X60" s="2"/>
      <c r="Y60" s="2"/>
      <c r="Z60" s="2"/>
      <c r="AA60" s="2"/>
    </row>
    <row r="61" spans="2:27">
      <c r="B61" s="14"/>
      <c r="C61" s="18" t="s">
        <v>170</v>
      </c>
      <c r="D61" s="811">
        <v>0.125</v>
      </c>
      <c r="E61" s="798">
        <v>71.02</v>
      </c>
      <c r="F61" s="800">
        <v>3</v>
      </c>
      <c r="G61" s="798">
        <v>0.6</v>
      </c>
      <c r="H61" s="798">
        <v>8.8800000000000008</v>
      </c>
      <c r="I61" s="798">
        <v>0.38</v>
      </c>
      <c r="J61" s="47">
        <v>0.08</v>
      </c>
      <c r="K61" s="2"/>
      <c r="Q61" s="2"/>
      <c r="R61" s="117"/>
      <c r="S61" s="813">
        <v>1995</v>
      </c>
      <c r="T61" s="814">
        <v>5.1700000000000003E-2</v>
      </c>
      <c r="U61" s="121">
        <v>9.0800000000000006E-2</v>
      </c>
      <c r="V61" s="112"/>
      <c r="W61" s="112"/>
      <c r="X61" s="2"/>
      <c r="Y61" s="2"/>
      <c r="Z61" s="2"/>
      <c r="AA61" s="2"/>
    </row>
    <row r="62" spans="2:27">
      <c r="B62" s="14"/>
      <c r="C62" s="18" t="s">
        <v>171</v>
      </c>
      <c r="D62" s="811">
        <v>0.14299999999999999</v>
      </c>
      <c r="E62" s="798">
        <v>102.41</v>
      </c>
      <c r="F62" s="800">
        <v>3</v>
      </c>
      <c r="G62" s="798">
        <v>0.6</v>
      </c>
      <c r="H62" s="798">
        <v>14.64</v>
      </c>
      <c r="I62" s="798">
        <v>0.43</v>
      </c>
      <c r="J62" s="47">
        <v>0.09</v>
      </c>
      <c r="K62" s="2"/>
      <c r="Q62" s="2"/>
      <c r="R62" s="117"/>
      <c r="S62" s="813">
        <v>1996</v>
      </c>
      <c r="T62" s="814">
        <v>4.5199999999999997E-2</v>
      </c>
      <c r="U62" s="121">
        <v>8.7099999999999997E-2</v>
      </c>
      <c r="V62" s="112"/>
      <c r="W62" s="112"/>
      <c r="X62" s="2"/>
      <c r="Y62" s="2"/>
      <c r="Z62" s="2"/>
      <c r="AA62" s="2"/>
    </row>
    <row r="63" spans="2:27">
      <c r="B63" s="14"/>
      <c r="C63" s="18" t="s">
        <v>172</v>
      </c>
      <c r="D63" s="811">
        <v>9.0999999999999998E-2</v>
      </c>
      <c r="E63" s="798">
        <v>62.87</v>
      </c>
      <c r="F63" s="800">
        <v>3</v>
      </c>
      <c r="G63" s="798">
        <v>0.6</v>
      </c>
      <c r="H63" s="798">
        <v>5.72</v>
      </c>
      <c r="I63" s="798">
        <v>0.27</v>
      </c>
      <c r="J63" s="47">
        <v>0.05</v>
      </c>
      <c r="K63" s="50"/>
      <c r="Q63" s="2"/>
      <c r="R63" s="117"/>
      <c r="S63" s="813">
        <v>1997</v>
      </c>
      <c r="T63" s="814">
        <v>4.5199999999999997E-2</v>
      </c>
      <c r="U63" s="121">
        <v>8.7099999999999997E-2</v>
      </c>
      <c r="V63" s="112"/>
      <c r="W63" s="112"/>
      <c r="X63" s="2"/>
      <c r="Y63" s="2"/>
      <c r="Z63" s="2"/>
      <c r="AA63" s="2"/>
    </row>
    <row r="64" spans="2:27">
      <c r="B64" s="14"/>
      <c r="C64" s="18" t="s">
        <v>173</v>
      </c>
      <c r="D64" s="811">
        <v>9.0999999999999998E-2</v>
      </c>
      <c r="E64" s="802">
        <v>67.77</v>
      </c>
      <c r="F64" s="800">
        <v>3</v>
      </c>
      <c r="G64" s="798">
        <v>0.6</v>
      </c>
      <c r="H64" s="798">
        <v>6.17</v>
      </c>
      <c r="I64" s="798">
        <v>0.27</v>
      </c>
      <c r="J64" s="47">
        <v>0.05</v>
      </c>
      <c r="K64" s="2"/>
      <c r="Q64" s="2"/>
      <c r="R64" s="117"/>
      <c r="S64" s="813">
        <v>1998</v>
      </c>
      <c r="T64" s="819">
        <v>4.1200000000000001E-2</v>
      </c>
      <c r="U64" s="122">
        <v>7.7799999999999994E-2</v>
      </c>
      <c r="V64" s="112"/>
      <c r="W64" s="112"/>
      <c r="X64" s="2"/>
      <c r="Y64" s="2"/>
      <c r="Z64" s="2"/>
      <c r="AA64" s="2"/>
    </row>
    <row r="65" spans="2:27">
      <c r="B65" s="14"/>
      <c r="C65" s="18" t="s">
        <v>174</v>
      </c>
      <c r="D65" s="811">
        <v>0.14000000000000001</v>
      </c>
      <c r="E65" s="798">
        <v>72.930000000000007</v>
      </c>
      <c r="F65" s="800">
        <v>3</v>
      </c>
      <c r="G65" s="798">
        <v>0.6</v>
      </c>
      <c r="H65" s="798">
        <v>10.210000000000001</v>
      </c>
      <c r="I65" s="798">
        <v>0.42</v>
      </c>
      <c r="J65" s="47">
        <v>0.08</v>
      </c>
      <c r="K65" s="2"/>
      <c r="Q65" s="2"/>
      <c r="R65" s="117"/>
      <c r="S65" s="813">
        <v>1999</v>
      </c>
      <c r="T65" s="819">
        <v>3.3300000000000003E-2</v>
      </c>
      <c r="U65" s="122">
        <v>5.9299999999999999E-2</v>
      </c>
      <c r="V65" s="112"/>
      <c r="W65" s="112"/>
      <c r="X65" s="2"/>
      <c r="Y65" s="2"/>
      <c r="Z65" s="2"/>
      <c r="AA65" s="2"/>
    </row>
    <row r="66" spans="2:27">
      <c r="B66" s="14"/>
      <c r="C66" s="48" t="s">
        <v>175</v>
      </c>
      <c r="D66" s="811">
        <v>0.15</v>
      </c>
      <c r="E66" s="798">
        <v>75.099999999999994</v>
      </c>
      <c r="F66" s="800">
        <v>3</v>
      </c>
      <c r="G66" s="798">
        <v>0.6</v>
      </c>
      <c r="H66" s="808">
        <v>11.27</v>
      </c>
      <c r="I66" s="808">
        <v>0.45</v>
      </c>
      <c r="J66" s="49">
        <v>0.09</v>
      </c>
      <c r="K66" s="2"/>
      <c r="Q66" s="2"/>
      <c r="R66" s="117"/>
      <c r="S66" s="813">
        <v>2000</v>
      </c>
      <c r="T66" s="819">
        <v>3.4000000000000002E-2</v>
      </c>
      <c r="U66" s="122">
        <v>6.0699999999999997E-2</v>
      </c>
      <c r="V66" s="112"/>
      <c r="W66" s="112"/>
      <c r="X66" s="2"/>
      <c r="Y66" s="2"/>
      <c r="Z66" s="2"/>
      <c r="AA66" s="2"/>
    </row>
    <row r="67" spans="2:27">
      <c r="B67" s="14"/>
      <c r="C67" s="18" t="s">
        <v>176</v>
      </c>
      <c r="D67" s="811">
        <v>0.125</v>
      </c>
      <c r="E67" s="798">
        <v>72.34</v>
      </c>
      <c r="F67" s="800">
        <v>3</v>
      </c>
      <c r="G67" s="798">
        <v>0.6</v>
      </c>
      <c r="H67" s="798">
        <v>9.0399999999999991</v>
      </c>
      <c r="I67" s="798">
        <v>0.38</v>
      </c>
      <c r="J67" s="47">
        <v>0.08</v>
      </c>
      <c r="K67" s="2"/>
      <c r="Q67" s="2"/>
      <c r="R67" s="117"/>
      <c r="S67" s="813">
        <v>2001</v>
      </c>
      <c r="T67" s="819">
        <v>2.2100000000000002E-2</v>
      </c>
      <c r="U67" s="122">
        <v>3.2800000000000003E-2</v>
      </c>
      <c r="V67" s="112"/>
      <c r="W67" s="112"/>
      <c r="X67" s="2"/>
      <c r="Y67" s="2"/>
      <c r="Z67" s="2"/>
      <c r="AA67" s="2"/>
    </row>
    <row r="68" spans="2:27">
      <c r="B68" s="14"/>
      <c r="C68" s="18" t="s">
        <v>177</v>
      </c>
      <c r="D68" s="811">
        <v>0.13900000000000001</v>
      </c>
      <c r="E68" s="798">
        <v>74.540000000000006</v>
      </c>
      <c r="F68" s="800">
        <v>3</v>
      </c>
      <c r="G68" s="798">
        <v>0.6</v>
      </c>
      <c r="H68" s="798">
        <v>10.36</v>
      </c>
      <c r="I68" s="798">
        <v>0.42</v>
      </c>
      <c r="J68" s="47">
        <v>0.08</v>
      </c>
      <c r="K68" s="2"/>
      <c r="Q68" s="2"/>
      <c r="R68" s="117"/>
      <c r="S68" s="813">
        <v>2002</v>
      </c>
      <c r="T68" s="819">
        <v>2.4199999999999999E-2</v>
      </c>
      <c r="U68" s="122">
        <v>3.78E-2</v>
      </c>
      <c r="V68" s="112"/>
      <c r="W68" s="112"/>
      <c r="X68" s="2"/>
      <c r="Y68" s="2"/>
      <c r="Z68" s="2"/>
      <c r="AA68" s="2"/>
    </row>
    <row r="69" spans="2:27">
      <c r="B69" s="14"/>
      <c r="C69" s="18" t="s">
        <v>178</v>
      </c>
      <c r="D69" s="811">
        <v>0.13800000000000001</v>
      </c>
      <c r="E69" s="798">
        <v>74</v>
      </c>
      <c r="F69" s="800">
        <v>3</v>
      </c>
      <c r="G69" s="798">
        <v>0.6</v>
      </c>
      <c r="H69" s="798">
        <v>10.210000000000001</v>
      </c>
      <c r="I69" s="798">
        <v>0.41</v>
      </c>
      <c r="J69" s="47">
        <v>0.08</v>
      </c>
      <c r="K69" s="2"/>
      <c r="Q69" s="2"/>
      <c r="R69" s="117"/>
      <c r="S69" s="813">
        <v>2003</v>
      </c>
      <c r="T69" s="819">
        <v>2.2499999999999999E-2</v>
      </c>
      <c r="U69" s="122">
        <v>3.3000000000000002E-2</v>
      </c>
      <c r="V69" s="112"/>
      <c r="W69" s="112"/>
      <c r="X69" s="2"/>
      <c r="Y69" s="2"/>
      <c r="Z69" s="2"/>
      <c r="AA69" s="2"/>
    </row>
    <row r="70" spans="2:27">
      <c r="B70" s="44"/>
      <c r="C70" s="820" t="s">
        <v>179</v>
      </c>
      <c r="D70" s="45"/>
      <c r="E70" s="51"/>
      <c r="F70" s="45"/>
      <c r="G70" s="45"/>
      <c r="H70" s="52"/>
      <c r="I70" s="52"/>
      <c r="J70" s="53"/>
      <c r="K70" s="2"/>
      <c r="Q70" s="2"/>
      <c r="R70" s="117"/>
      <c r="S70" s="813">
        <v>2004</v>
      </c>
      <c r="T70" s="819">
        <v>1.6199999999999999E-2</v>
      </c>
      <c r="U70" s="122">
        <v>9.7999999999999997E-3</v>
      </c>
      <c r="V70" s="112"/>
      <c r="W70" s="112"/>
      <c r="X70" s="2"/>
      <c r="Y70" s="2"/>
      <c r="Z70" s="2"/>
      <c r="AA70" s="2"/>
    </row>
    <row r="71" spans="2:27">
      <c r="B71" s="14"/>
      <c r="C71" s="48" t="s">
        <v>180</v>
      </c>
      <c r="D71" s="811">
        <v>0.128</v>
      </c>
      <c r="E71" s="798">
        <v>73.84</v>
      </c>
      <c r="F71" s="800">
        <v>1.1000000000000001</v>
      </c>
      <c r="G71" s="798">
        <v>0.11</v>
      </c>
      <c r="H71" s="808">
        <v>9.4499999999999993</v>
      </c>
      <c r="I71" s="808">
        <v>0.14000000000000001</v>
      </c>
      <c r="J71" s="49">
        <v>0.01</v>
      </c>
      <c r="K71" s="2"/>
      <c r="Q71" s="2"/>
      <c r="R71" s="117"/>
      <c r="S71" s="813">
        <v>2005</v>
      </c>
      <c r="T71" s="819">
        <v>1.6E-2</v>
      </c>
      <c r="U71" s="122">
        <v>8.0999999999999996E-3</v>
      </c>
      <c r="V71" s="112"/>
      <c r="W71" s="112"/>
      <c r="X71" s="2"/>
      <c r="Y71" s="2"/>
      <c r="Z71" s="2"/>
      <c r="AA71" s="2"/>
    </row>
    <row r="72" spans="2:27">
      <c r="B72" s="14"/>
      <c r="C72" s="48" t="s">
        <v>181</v>
      </c>
      <c r="D72" s="811">
        <v>8.4000000000000005E-2</v>
      </c>
      <c r="E72" s="798">
        <v>68.44</v>
      </c>
      <c r="F72" s="800">
        <v>1.1000000000000001</v>
      </c>
      <c r="G72" s="798">
        <v>0.11</v>
      </c>
      <c r="H72" s="808">
        <v>5.75</v>
      </c>
      <c r="I72" s="808">
        <v>0.09</v>
      </c>
      <c r="J72" s="49">
        <v>0.01</v>
      </c>
      <c r="K72" s="2"/>
      <c r="Q72" s="2"/>
      <c r="R72" s="117"/>
      <c r="S72" s="813">
        <v>2006</v>
      </c>
      <c r="T72" s="819">
        <v>1.5900000000000001E-2</v>
      </c>
      <c r="U72" s="122">
        <v>8.8000000000000005E-3</v>
      </c>
      <c r="V72" s="112"/>
      <c r="W72" s="112"/>
      <c r="X72" s="2"/>
      <c r="Y72" s="2"/>
      <c r="Z72" s="2"/>
      <c r="AA72" s="2"/>
    </row>
    <row r="73" spans="2:27">
      <c r="B73" s="14"/>
      <c r="C73" s="18" t="s">
        <v>182</v>
      </c>
      <c r="D73" s="811">
        <v>0.125</v>
      </c>
      <c r="E73" s="798">
        <v>71.06</v>
      </c>
      <c r="F73" s="800">
        <v>1.1000000000000001</v>
      </c>
      <c r="G73" s="798">
        <v>0.11</v>
      </c>
      <c r="H73" s="798">
        <v>8.8800000000000008</v>
      </c>
      <c r="I73" s="798">
        <v>0.14000000000000001</v>
      </c>
      <c r="J73" s="47">
        <v>0.01</v>
      </c>
      <c r="K73" s="2"/>
      <c r="Q73" s="2"/>
      <c r="R73" s="117"/>
      <c r="S73" s="813">
        <v>2007</v>
      </c>
      <c r="T73" s="814">
        <v>1.61E-2</v>
      </c>
      <c r="U73" s="121">
        <v>7.9000000000000008E-3</v>
      </c>
      <c r="V73" s="112"/>
      <c r="W73" s="112"/>
      <c r="X73" s="2"/>
      <c r="Y73" s="2"/>
      <c r="Z73" s="2"/>
      <c r="AA73" s="2"/>
    </row>
    <row r="74" spans="2:27" ht="15.75" thickBot="1">
      <c r="B74" s="14"/>
      <c r="C74" s="18" t="s">
        <v>183</v>
      </c>
      <c r="D74" s="811">
        <v>0.12</v>
      </c>
      <c r="E74" s="798">
        <v>81.55</v>
      </c>
      <c r="F74" s="800">
        <v>1.1000000000000001</v>
      </c>
      <c r="G74" s="798">
        <v>0.11</v>
      </c>
      <c r="H74" s="798">
        <v>9.7899999999999991</v>
      </c>
      <c r="I74" s="798">
        <v>0.13</v>
      </c>
      <c r="J74" s="47">
        <v>0.01</v>
      </c>
      <c r="K74" s="2"/>
      <c r="Q74" s="2"/>
      <c r="R74" s="123"/>
      <c r="S74" s="124" t="s">
        <v>220</v>
      </c>
      <c r="T74" s="125">
        <v>1.6299999999999999E-2</v>
      </c>
      <c r="U74" s="126">
        <v>6.6E-3</v>
      </c>
      <c r="V74" s="112"/>
      <c r="W74" s="112"/>
      <c r="X74" s="2"/>
      <c r="Y74" s="2"/>
      <c r="Z74" s="2"/>
      <c r="AA74" s="2"/>
    </row>
    <row r="75" spans="2:27" ht="114.75">
      <c r="B75" s="44"/>
      <c r="C75" s="821" t="s">
        <v>184</v>
      </c>
      <c r="D75" s="45"/>
      <c r="E75" s="51"/>
      <c r="F75" s="45"/>
      <c r="G75" s="45"/>
      <c r="H75" s="52"/>
      <c r="I75" s="52"/>
      <c r="J75" s="53"/>
      <c r="K75" s="2"/>
      <c r="Q75" s="2"/>
      <c r="R75" s="113" t="s">
        <v>221</v>
      </c>
      <c r="S75" s="114" t="s">
        <v>222</v>
      </c>
      <c r="T75" s="115">
        <v>0.46039999999999998</v>
      </c>
      <c r="U75" s="116">
        <v>4.9700000000000001E-2</v>
      </c>
      <c r="V75" s="112"/>
      <c r="W75" s="112"/>
      <c r="X75" s="2"/>
      <c r="Y75" s="2"/>
      <c r="Z75" s="2"/>
      <c r="AA75" s="2"/>
    </row>
    <row r="76" spans="2:27">
      <c r="B76" s="14"/>
      <c r="C76" s="18" t="s">
        <v>185</v>
      </c>
      <c r="D76" s="52"/>
      <c r="E76" s="800">
        <v>94.4</v>
      </c>
      <c r="F76" s="800">
        <v>1.9</v>
      </c>
      <c r="G76" s="798">
        <v>0.42</v>
      </c>
      <c r="H76" s="52"/>
      <c r="I76" s="52"/>
      <c r="J76" s="53"/>
      <c r="K76" s="2"/>
      <c r="Q76" s="2"/>
      <c r="R76" s="117"/>
      <c r="S76" s="813" t="s">
        <v>223</v>
      </c>
      <c r="T76" s="814">
        <v>0.44919999999999999</v>
      </c>
      <c r="U76" s="121">
        <v>5.3800000000000001E-2</v>
      </c>
      <c r="V76" s="112"/>
      <c r="W76" s="112"/>
      <c r="X76" s="2"/>
      <c r="Y76" s="2"/>
      <c r="Z76" s="2"/>
      <c r="AA76" s="2"/>
    </row>
    <row r="77" spans="2:27">
      <c r="B77" s="14"/>
      <c r="C77" s="18" t="s">
        <v>186</v>
      </c>
      <c r="D77" s="52"/>
      <c r="E77" s="800">
        <v>93.7</v>
      </c>
      <c r="F77" s="800">
        <v>1.9</v>
      </c>
      <c r="G77" s="798">
        <v>0.42</v>
      </c>
      <c r="H77" s="52"/>
      <c r="I77" s="52"/>
      <c r="J77" s="53"/>
      <c r="K77" s="2"/>
      <c r="Q77" s="2"/>
      <c r="R77" s="117"/>
      <c r="S77" s="813" t="s">
        <v>224</v>
      </c>
      <c r="T77" s="814">
        <v>0.40899999999999997</v>
      </c>
      <c r="U77" s="121">
        <v>5.1499999999999997E-2</v>
      </c>
      <c r="V77" s="112"/>
      <c r="W77" s="112"/>
      <c r="X77" s="2"/>
      <c r="Y77" s="2"/>
      <c r="Z77" s="2"/>
      <c r="AA77" s="2"/>
    </row>
    <row r="78" spans="2:27">
      <c r="B78" s="14"/>
      <c r="C78" s="18" t="s">
        <v>187</v>
      </c>
      <c r="D78" s="52"/>
      <c r="E78" s="800">
        <v>95.5</v>
      </c>
      <c r="F78" s="800">
        <v>1.9</v>
      </c>
      <c r="G78" s="798">
        <v>0.42</v>
      </c>
      <c r="H78" s="52"/>
      <c r="I78" s="52"/>
      <c r="J78" s="53"/>
      <c r="K78" s="2"/>
      <c r="Q78" s="2"/>
      <c r="R78" s="117"/>
      <c r="S78" s="813">
        <v>1987</v>
      </c>
      <c r="T78" s="814">
        <v>0.36749999999999999</v>
      </c>
      <c r="U78" s="121">
        <v>8.4900000000000003E-2</v>
      </c>
      <c r="V78" s="112"/>
      <c r="W78" s="112"/>
      <c r="X78" s="2"/>
      <c r="Y78" s="2"/>
      <c r="Z78" s="2"/>
      <c r="AA78" s="2"/>
    </row>
    <row r="79" spans="2:27">
      <c r="B79" s="14"/>
      <c r="C79" s="18" t="s">
        <v>188</v>
      </c>
      <c r="D79" s="52"/>
      <c r="E79" s="800">
        <v>93.7</v>
      </c>
      <c r="F79" s="800">
        <v>1.9</v>
      </c>
      <c r="G79" s="798">
        <v>0.42</v>
      </c>
      <c r="H79" s="52"/>
      <c r="I79" s="52"/>
      <c r="J79" s="53"/>
      <c r="K79" s="2"/>
      <c r="Q79" s="2"/>
      <c r="R79" s="117"/>
      <c r="S79" s="813" t="s">
        <v>225</v>
      </c>
      <c r="T79" s="814">
        <v>0.34920000000000001</v>
      </c>
      <c r="U79" s="121">
        <v>9.3299999999999994E-2</v>
      </c>
      <c r="V79" s="112"/>
      <c r="W79" s="112"/>
      <c r="X79" s="2"/>
      <c r="Y79" s="2"/>
      <c r="Z79" s="2"/>
      <c r="AA79" s="2"/>
    </row>
    <row r="80" spans="2:27" ht="15.75" thickBot="1">
      <c r="B80" s="14"/>
      <c r="C80" s="54" t="s">
        <v>189</v>
      </c>
      <c r="D80" s="55"/>
      <c r="E80" s="56">
        <v>95.1</v>
      </c>
      <c r="F80" s="56">
        <v>1.9</v>
      </c>
      <c r="G80" s="57">
        <v>0.42</v>
      </c>
      <c r="H80" s="55"/>
      <c r="I80" s="55"/>
      <c r="J80" s="58"/>
      <c r="K80" s="2"/>
      <c r="Q80" s="2"/>
      <c r="R80" s="117"/>
      <c r="S80" s="813" t="s">
        <v>226</v>
      </c>
      <c r="T80" s="814">
        <v>0.3246</v>
      </c>
      <c r="U80" s="121">
        <v>0.1142</v>
      </c>
      <c r="V80" s="112"/>
      <c r="W80" s="112"/>
      <c r="X80" s="2"/>
      <c r="Y80" s="2"/>
      <c r="Z80" s="2"/>
      <c r="AA80" s="2"/>
    </row>
    <row r="81" spans="2:27">
      <c r="B81" s="44"/>
      <c r="C81" s="59" t="s">
        <v>190</v>
      </c>
      <c r="D81" s="60"/>
      <c r="E81" s="61"/>
      <c r="F81" s="61"/>
      <c r="G81" s="61"/>
      <c r="H81" s="60"/>
      <c r="I81" s="60"/>
      <c r="J81" s="60"/>
      <c r="K81" s="60"/>
      <c r="Q81" s="2"/>
      <c r="R81" s="117"/>
      <c r="S81" s="813">
        <v>1996</v>
      </c>
      <c r="T81" s="814">
        <v>0.1278</v>
      </c>
      <c r="U81" s="121">
        <v>0.16800000000000001</v>
      </c>
      <c r="V81" s="112"/>
      <c r="W81" s="112"/>
      <c r="X81" s="2"/>
      <c r="Y81" s="2"/>
      <c r="Z81" s="2"/>
      <c r="AA81" s="2"/>
    </row>
    <row r="82" spans="2:27">
      <c r="B82" s="11"/>
      <c r="C82" s="1012" t="s">
        <v>201</v>
      </c>
      <c r="D82" s="1012"/>
      <c r="E82" s="1012"/>
      <c r="F82" s="1012"/>
      <c r="G82" s="1012"/>
      <c r="H82" s="1012"/>
      <c r="I82" s="1012"/>
      <c r="J82" s="1012"/>
      <c r="K82" s="1012"/>
      <c r="Q82" s="2"/>
      <c r="R82" s="117"/>
      <c r="S82" s="813">
        <v>1997</v>
      </c>
      <c r="T82" s="814">
        <v>9.2399999999999996E-2</v>
      </c>
      <c r="U82" s="121">
        <v>0.1726</v>
      </c>
      <c r="V82" s="112"/>
      <c r="W82" s="112"/>
      <c r="X82" s="2"/>
      <c r="Y82" s="2"/>
      <c r="Z82" s="2"/>
      <c r="AA82" s="2"/>
    </row>
    <row r="83" spans="2:27">
      <c r="B83" s="11"/>
      <c r="C83" s="62" t="s">
        <v>202</v>
      </c>
      <c r="D83" s="2"/>
      <c r="E83" s="2"/>
      <c r="F83" s="2"/>
      <c r="G83" s="2"/>
      <c r="H83" s="2"/>
      <c r="I83" s="2"/>
      <c r="J83" s="2"/>
      <c r="K83" s="2"/>
      <c r="Q83" s="2"/>
      <c r="R83" s="117"/>
      <c r="S83" s="813">
        <v>1998</v>
      </c>
      <c r="T83" s="819">
        <v>6.5500000000000003E-2</v>
      </c>
      <c r="U83" s="122">
        <v>0.17499999999999999</v>
      </c>
      <c r="V83" s="112"/>
      <c r="W83" s="112"/>
      <c r="X83" s="2"/>
      <c r="Y83" s="2"/>
      <c r="Z83" s="2"/>
      <c r="AA83" s="2"/>
    </row>
    <row r="84" spans="2:27">
      <c r="B84" s="1"/>
      <c r="C84" s="1012" t="s">
        <v>1802</v>
      </c>
      <c r="D84" s="1012"/>
      <c r="E84" s="1012"/>
      <c r="F84" s="1012"/>
      <c r="G84" s="1012"/>
      <c r="H84" s="1012"/>
      <c r="I84" s="1012"/>
      <c r="J84" s="1012"/>
      <c r="K84" s="1012"/>
      <c r="Q84" s="2"/>
      <c r="R84" s="117"/>
      <c r="S84" s="813">
        <v>1999</v>
      </c>
      <c r="T84" s="819">
        <v>6.4799999999999996E-2</v>
      </c>
      <c r="U84" s="122">
        <v>0.17213999999999999</v>
      </c>
      <c r="V84" s="112"/>
      <c r="W84" s="112"/>
      <c r="X84" s="2"/>
      <c r="Y84" s="2"/>
      <c r="Z84" s="2"/>
      <c r="AA84" s="2"/>
    </row>
    <row r="85" spans="2:27">
      <c r="Q85" s="2"/>
      <c r="R85" s="117"/>
      <c r="S85" s="813">
        <v>2000</v>
      </c>
      <c r="T85" s="819">
        <v>6.3E-2</v>
      </c>
      <c r="U85" s="122">
        <v>0.16499</v>
      </c>
      <c r="V85" s="112"/>
      <c r="W85" s="112"/>
      <c r="X85" s="2"/>
      <c r="Y85" s="2"/>
      <c r="Z85" s="2"/>
      <c r="AA85" s="2"/>
    </row>
    <row r="86" spans="2:27">
      <c r="Q86" s="2"/>
      <c r="R86" s="117"/>
      <c r="S86" s="813">
        <v>2001</v>
      </c>
      <c r="T86" s="819">
        <v>5.7799999999999997E-2</v>
      </c>
      <c r="U86" s="122">
        <v>0.14353999999999997</v>
      </c>
      <c r="V86" s="112"/>
      <c r="W86" s="112"/>
      <c r="X86" s="2"/>
      <c r="Y86" s="2"/>
      <c r="Z86" s="2"/>
      <c r="AA86" s="2"/>
    </row>
    <row r="87" spans="2:27">
      <c r="Q87" s="2"/>
      <c r="R87" s="117"/>
      <c r="S87" s="813">
        <v>2002</v>
      </c>
      <c r="T87" s="819">
        <v>6.3399999999999998E-2</v>
      </c>
      <c r="U87" s="122">
        <v>0.16641999999999998</v>
      </c>
      <c r="V87" s="112"/>
      <c r="W87" s="112"/>
      <c r="X87" s="2"/>
      <c r="Y87" s="2"/>
      <c r="Z87" s="2"/>
      <c r="AA87" s="2"/>
    </row>
    <row r="88" spans="2:27" ht="18">
      <c r="B88" s="195" t="s">
        <v>354</v>
      </c>
      <c r="C88" s="195" t="s">
        <v>1210</v>
      </c>
      <c r="D88" s="195" t="s">
        <v>194</v>
      </c>
      <c r="E88" s="196" t="s">
        <v>413</v>
      </c>
      <c r="F88" s="196" t="s">
        <v>414</v>
      </c>
      <c r="G88" s="98" t="s">
        <v>415</v>
      </c>
      <c r="H88" s="98" t="s">
        <v>416</v>
      </c>
      <c r="Q88" s="2"/>
      <c r="R88" s="117"/>
      <c r="S88" s="813">
        <v>2003</v>
      </c>
      <c r="T88" s="819">
        <v>6.0299999999999999E-2</v>
      </c>
      <c r="U88" s="122">
        <v>0.153364</v>
      </c>
      <c r="V88" s="112"/>
      <c r="W88" s="112"/>
      <c r="X88" s="2"/>
      <c r="Y88" s="2"/>
      <c r="Z88" s="2"/>
      <c r="AA88" s="2"/>
    </row>
    <row r="89" spans="2:27">
      <c r="B89" s="1013" t="s">
        <v>1803</v>
      </c>
      <c r="C89" s="1016" t="s">
        <v>377</v>
      </c>
      <c r="D89" s="196" t="s">
        <v>1804</v>
      </c>
      <c r="E89" s="74">
        <v>2542.04</v>
      </c>
      <c r="F89" s="74">
        <v>2537.36</v>
      </c>
      <c r="G89" s="74">
        <v>3.34</v>
      </c>
      <c r="H89" s="74">
        <v>1.34</v>
      </c>
      <c r="Q89" s="2"/>
      <c r="R89" s="117"/>
      <c r="S89" s="813">
        <v>2004</v>
      </c>
      <c r="T89" s="819">
        <v>3.2300000000000002E-2</v>
      </c>
      <c r="U89" s="122">
        <v>1.9538E-2</v>
      </c>
      <c r="V89" s="112"/>
      <c r="W89" s="112"/>
      <c r="X89" s="2"/>
      <c r="Y89" s="2"/>
      <c r="Z89" s="2"/>
      <c r="AA89" s="2"/>
    </row>
    <row r="90" spans="2:27">
      <c r="B90" s="1014"/>
      <c r="C90" s="1017"/>
      <c r="D90" s="196" t="s">
        <v>1510</v>
      </c>
      <c r="E90" s="94">
        <v>0.44485999999999998</v>
      </c>
      <c r="F90" s="94">
        <v>0.44403999999999999</v>
      </c>
      <c r="G90" s="94">
        <v>5.8E-4</v>
      </c>
      <c r="H90" s="94">
        <v>2.3000000000000001E-4</v>
      </c>
      <c r="Q90" s="2"/>
      <c r="R90" s="117"/>
      <c r="S90" s="813">
        <v>2005</v>
      </c>
      <c r="T90" s="819">
        <v>3.2899999999999999E-2</v>
      </c>
      <c r="U90" s="122">
        <v>1.619E-2</v>
      </c>
      <c r="V90" s="112"/>
      <c r="W90" s="112"/>
      <c r="X90" s="2"/>
      <c r="Y90" s="2"/>
      <c r="Z90" s="2"/>
      <c r="AA90" s="2"/>
    </row>
    <row r="91" spans="2:27">
      <c r="B91" s="1014"/>
      <c r="C91" s="1017"/>
      <c r="D91" s="196" t="s">
        <v>1805</v>
      </c>
      <c r="E91" s="94">
        <v>0.20427999999999999</v>
      </c>
      <c r="F91" s="94">
        <v>0.2039</v>
      </c>
      <c r="G91" s="94">
        <v>2.7E-4</v>
      </c>
      <c r="H91" s="94">
        <v>1.1E-4</v>
      </c>
      <c r="Q91" s="2"/>
      <c r="R91" s="117"/>
      <c r="S91" s="813">
        <v>2006</v>
      </c>
      <c r="T91" s="819">
        <v>3.1800000000000002E-2</v>
      </c>
      <c r="U91" s="122">
        <v>2.2700000000000001E-2</v>
      </c>
      <c r="V91" s="112"/>
      <c r="W91" s="112"/>
      <c r="X91" s="2"/>
      <c r="Y91" s="2"/>
      <c r="Z91" s="2"/>
      <c r="AA91" s="2"/>
    </row>
    <row r="92" spans="2:27">
      <c r="B92" s="1014"/>
      <c r="C92" s="1018"/>
      <c r="D92" s="196" t="s">
        <v>1806</v>
      </c>
      <c r="E92" s="94">
        <v>0.18385000000000001</v>
      </c>
      <c r="F92" s="94">
        <v>0.18351000000000001</v>
      </c>
      <c r="G92" s="94">
        <v>2.4000000000000001E-4</v>
      </c>
      <c r="H92" s="94">
        <v>1E-4</v>
      </c>
      <c r="Q92" s="2"/>
      <c r="R92" s="117"/>
      <c r="S92" s="813">
        <v>2007</v>
      </c>
      <c r="T92" s="819">
        <v>3.3300000000000003E-2</v>
      </c>
      <c r="U92" s="122">
        <v>1.34E-2</v>
      </c>
      <c r="V92" s="112"/>
      <c r="W92" s="112"/>
      <c r="X92" s="2"/>
      <c r="Y92" s="2"/>
      <c r="Z92" s="2"/>
      <c r="AA92" s="2"/>
    </row>
    <row r="93" spans="2:27" ht="15.75" thickBot="1">
      <c r="B93" s="1014"/>
      <c r="C93" s="1016" t="s">
        <v>1807</v>
      </c>
      <c r="D93" s="196" t="s">
        <v>1804</v>
      </c>
      <c r="E93" s="74">
        <v>2550.04</v>
      </c>
      <c r="F93" s="74">
        <v>2545.37</v>
      </c>
      <c r="G93" s="74">
        <v>3.34</v>
      </c>
      <c r="H93" s="74">
        <v>1.34</v>
      </c>
      <c r="Q93" s="2"/>
      <c r="R93" s="123"/>
      <c r="S93" s="124" t="s">
        <v>220</v>
      </c>
      <c r="T93" s="125">
        <v>3.3300000000000003E-2</v>
      </c>
      <c r="U93" s="126">
        <v>1.34E-2</v>
      </c>
      <c r="V93" s="112"/>
      <c r="W93" s="112"/>
      <c r="X93" s="2"/>
      <c r="Y93" s="2"/>
      <c r="Z93" s="2"/>
      <c r="AA93" s="2"/>
    </row>
    <row r="94" spans="2:27">
      <c r="B94" s="1014"/>
      <c r="C94" s="1017"/>
      <c r="D94" s="196" t="s">
        <v>1510</v>
      </c>
      <c r="E94" s="94">
        <v>1.15387</v>
      </c>
      <c r="F94" s="94">
        <v>1.1517500000000001</v>
      </c>
      <c r="G94" s="94">
        <v>1.5100000000000001E-3</v>
      </c>
      <c r="H94" s="94">
        <v>5.9999999999999995E-4</v>
      </c>
      <c r="Q94" s="2"/>
      <c r="R94" s="1033" t="s">
        <v>227</v>
      </c>
      <c r="S94" s="114" t="s">
        <v>228</v>
      </c>
      <c r="T94" s="127">
        <v>8.9899999999999994E-2</v>
      </c>
      <c r="U94" s="128">
        <v>8.6999999999999994E-3</v>
      </c>
      <c r="V94" s="112"/>
      <c r="W94" s="112"/>
      <c r="X94" s="2"/>
      <c r="Y94" s="2"/>
      <c r="Z94" s="2"/>
      <c r="AA94" s="2"/>
    </row>
    <row r="95" spans="2:27" ht="15.75" thickBot="1">
      <c r="B95" s="1014"/>
      <c r="C95" s="1017"/>
      <c r="D95" s="196" t="s">
        <v>1805</v>
      </c>
      <c r="E95" s="94">
        <v>0.20491999999999999</v>
      </c>
      <c r="F95" s="99">
        <v>0.20455000000000001</v>
      </c>
      <c r="G95" s="94">
        <v>2.7E-4</v>
      </c>
      <c r="H95" s="94">
        <v>1.1E-4</v>
      </c>
      <c r="Q95" s="2"/>
      <c r="R95" s="1034"/>
      <c r="S95" s="124" t="s">
        <v>229</v>
      </c>
      <c r="T95" s="129">
        <v>6.7199999999999996E-2</v>
      </c>
      <c r="U95" s="130">
        <v>6.8999999999999999E-3</v>
      </c>
      <c r="V95" s="112"/>
      <c r="W95" s="112"/>
      <c r="X95" s="2"/>
      <c r="Y95" s="2"/>
      <c r="Z95" s="2"/>
      <c r="AA95" s="2"/>
    </row>
    <row r="96" spans="2:27">
      <c r="B96" s="1014"/>
      <c r="C96" s="1018"/>
      <c r="D96" s="196" t="s">
        <v>1806</v>
      </c>
      <c r="E96" s="94">
        <v>0.18443000000000001</v>
      </c>
      <c r="F96" s="94">
        <v>0.18409</v>
      </c>
      <c r="G96" s="94">
        <v>2.4000000000000001E-4</v>
      </c>
      <c r="H96" s="94">
        <v>1E-4</v>
      </c>
      <c r="Q96" s="92"/>
      <c r="R96" s="59" t="s">
        <v>1808</v>
      </c>
      <c r="S96" s="60"/>
      <c r="T96" s="60"/>
      <c r="U96" s="60"/>
      <c r="V96" s="112"/>
      <c r="W96" s="60"/>
      <c r="X96" s="60"/>
      <c r="Y96" s="60"/>
      <c r="Z96" s="60"/>
      <c r="AA96" s="60"/>
    </row>
    <row r="97" spans="2:27">
      <c r="B97" s="1014"/>
      <c r="C97" s="1016" t="s">
        <v>378</v>
      </c>
      <c r="D97" s="196" t="s">
        <v>1804</v>
      </c>
      <c r="E97" s="74">
        <v>2936.86</v>
      </c>
      <c r="F97" s="74">
        <v>2933.01</v>
      </c>
      <c r="G97" s="74">
        <v>1.94</v>
      </c>
      <c r="H97" s="74">
        <v>1.91</v>
      </c>
      <c r="Q97" s="1"/>
      <c r="R97" s="2"/>
      <c r="S97" s="2"/>
      <c r="T97" s="2"/>
      <c r="U97" s="2"/>
      <c r="V97" s="2"/>
      <c r="W97" s="2"/>
      <c r="X97" s="2"/>
      <c r="Y97" s="2"/>
      <c r="Z97" s="2"/>
      <c r="AA97" s="2"/>
    </row>
    <row r="98" spans="2:27" ht="18.75">
      <c r="B98" s="1014"/>
      <c r="C98" s="1017"/>
      <c r="D98" s="196" t="s">
        <v>1510</v>
      </c>
      <c r="E98" s="94">
        <v>1.5226</v>
      </c>
      <c r="F98" s="94">
        <v>1.5206</v>
      </c>
      <c r="G98" s="94">
        <v>1.01E-3</v>
      </c>
      <c r="H98" s="94">
        <v>9.8999999999999999E-4</v>
      </c>
      <c r="Q98" s="218" t="s">
        <v>1809</v>
      </c>
      <c r="R98" s="803" t="s">
        <v>1810</v>
      </c>
      <c r="S98" s="220"/>
      <c r="T98" s="220"/>
      <c r="U98" s="220"/>
      <c r="V98" s="220"/>
      <c r="W98" s="220"/>
      <c r="X98" s="220"/>
      <c r="Y98" s="220"/>
      <c r="Z98" s="220"/>
      <c r="AA98" s="221"/>
    </row>
    <row r="99" spans="2:27" ht="15.75" thickBot="1">
      <c r="B99" s="1014"/>
      <c r="C99" s="1017"/>
      <c r="D99" s="196" t="s">
        <v>1805</v>
      </c>
      <c r="E99" s="94">
        <v>0.23028999999999999</v>
      </c>
      <c r="F99" s="94">
        <v>0.22999</v>
      </c>
      <c r="G99" s="94">
        <v>1.4999999999999999E-4</v>
      </c>
      <c r="H99" s="94">
        <v>1.4999999999999999E-4</v>
      </c>
      <c r="Q99" s="2"/>
      <c r="R99" s="68"/>
      <c r="S99" s="68"/>
      <c r="T99" s="68"/>
      <c r="U99" s="68"/>
      <c r="V99" s="2"/>
      <c r="W99" s="2"/>
      <c r="X99" s="2"/>
      <c r="Y99" s="2"/>
      <c r="Z99" s="2"/>
      <c r="AA99" s="2"/>
    </row>
    <row r="100" spans="2:27" ht="40.5" thickBot="1">
      <c r="B100" s="1014"/>
      <c r="C100" s="1018"/>
      <c r="D100" s="196" t="s">
        <v>1806</v>
      </c>
      <c r="E100" s="94">
        <v>0.21446999999999999</v>
      </c>
      <c r="F100" s="94">
        <v>0.21418999999999999</v>
      </c>
      <c r="G100" s="94">
        <v>1.3999999999999999E-4</v>
      </c>
      <c r="H100" s="94">
        <v>1.3999999999999999E-4</v>
      </c>
      <c r="Q100" s="2"/>
      <c r="R100" s="131" t="s">
        <v>205</v>
      </c>
      <c r="S100" s="110" t="s">
        <v>232</v>
      </c>
      <c r="T100" s="110" t="s">
        <v>1811</v>
      </c>
      <c r="U100" s="111" t="s">
        <v>1795</v>
      </c>
      <c r="V100" s="2"/>
      <c r="W100" s="2"/>
      <c r="X100" s="2"/>
      <c r="Y100" s="2"/>
      <c r="Z100" s="2"/>
      <c r="AA100" s="2"/>
    </row>
    <row r="101" spans="2:27">
      <c r="B101" s="1014"/>
      <c r="C101" s="1016" t="s">
        <v>1812</v>
      </c>
      <c r="D101" s="196" t="s">
        <v>1804</v>
      </c>
      <c r="E101" s="74">
        <v>2542.04</v>
      </c>
      <c r="F101" s="74">
        <v>2537.36</v>
      </c>
      <c r="G101" s="74">
        <v>3.34</v>
      </c>
      <c r="H101" s="74">
        <v>1.34</v>
      </c>
      <c r="Q101" s="2"/>
      <c r="R101" s="1033" t="s">
        <v>233</v>
      </c>
      <c r="S101" s="114" t="s">
        <v>234</v>
      </c>
      <c r="T101" s="132">
        <v>5.9999999999999995E-4</v>
      </c>
      <c r="U101" s="133">
        <v>1.1999999999999999E-3</v>
      </c>
      <c r="V101" s="134"/>
      <c r="W101" s="2"/>
      <c r="X101" s="2"/>
      <c r="Y101" s="2"/>
      <c r="Z101" s="2"/>
      <c r="AA101" s="2"/>
    </row>
    <row r="102" spans="2:27">
      <c r="B102" s="1014"/>
      <c r="C102" s="1017"/>
      <c r="D102" s="196" t="s">
        <v>1813</v>
      </c>
      <c r="E102" s="94">
        <v>2.0305300000000002</v>
      </c>
      <c r="F102" s="94">
        <v>2.0268000000000002</v>
      </c>
      <c r="G102" s="94">
        <v>2.6700000000000001E-3</v>
      </c>
      <c r="H102" s="94">
        <v>1.07E-3</v>
      </c>
      <c r="Q102" s="2"/>
      <c r="R102" s="1035"/>
      <c r="S102" s="813" t="s">
        <v>235</v>
      </c>
      <c r="T102" s="822">
        <v>5.0000000000000001E-4</v>
      </c>
      <c r="U102" s="135">
        <v>1E-3</v>
      </c>
      <c r="V102" s="134"/>
      <c r="W102" s="2"/>
      <c r="X102" s="2"/>
      <c r="Y102" s="2"/>
      <c r="Z102" s="2"/>
      <c r="AA102" s="2"/>
    </row>
    <row r="103" spans="2:27">
      <c r="B103" s="1014"/>
      <c r="C103" s="1017"/>
      <c r="D103" s="196" t="s">
        <v>1805</v>
      </c>
      <c r="E103" s="94">
        <v>0.20427999999999999</v>
      </c>
      <c r="F103" s="94">
        <v>0.2039</v>
      </c>
      <c r="G103" s="94">
        <v>2.7E-4</v>
      </c>
      <c r="H103" s="94">
        <v>1.1E-4</v>
      </c>
      <c r="Q103" s="2"/>
      <c r="R103" s="1035"/>
      <c r="S103" s="813" t="s">
        <v>229</v>
      </c>
      <c r="T103" s="822">
        <v>5.0000000000000001E-4</v>
      </c>
      <c r="U103" s="135">
        <v>1E-3</v>
      </c>
      <c r="V103" s="134"/>
      <c r="W103" s="2"/>
      <c r="X103" s="2"/>
      <c r="Y103" s="2"/>
      <c r="Z103" s="2"/>
      <c r="AA103" s="2"/>
    </row>
    <row r="104" spans="2:27">
      <c r="B104" s="1014"/>
      <c r="C104" s="1018"/>
      <c r="D104" s="196" t="s">
        <v>1806</v>
      </c>
      <c r="E104" s="94">
        <v>0.18385000000000001</v>
      </c>
      <c r="F104" s="94">
        <v>0.18351000000000001</v>
      </c>
      <c r="G104" s="94">
        <v>2.4000000000000001E-4</v>
      </c>
      <c r="H104" s="94">
        <v>1E-4</v>
      </c>
      <c r="Q104" s="136"/>
      <c r="R104" s="1036" t="s">
        <v>236</v>
      </c>
      <c r="S104" s="813" t="s">
        <v>234</v>
      </c>
      <c r="T104" s="822">
        <v>1.1000000000000001E-3</v>
      </c>
      <c r="U104" s="135">
        <v>1.6999999999999999E-3</v>
      </c>
      <c r="V104" s="134"/>
      <c r="W104" s="2"/>
      <c r="X104" s="2"/>
      <c r="Y104" s="2"/>
      <c r="Z104" s="2"/>
      <c r="AA104" s="2"/>
    </row>
    <row r="105" spans="2:27">
      <c r="B105" s="1014"/>
      <c r="C105" s="1016" t="s">
        <v>1814</v>
      </c>
      <c r="D105" s="196" t="s">
        <v>1804</v>
      </c>
      <c r="E105" s="74">
        <v>2550.04</v>
      </c>
      <c r="F105" s="74">
        <v>2545.37</v>
      </c>
      <c r="G105" s="74">
        <v>3.34</v>
      </c>
      <c r="H105" s="74">
        <v>1.34</v>
      </c>
      <c r="Q105" s="136"/>
      <c r="R105" s="1035"/>
      <c r="S105" s="813" t="s">
        <v>235</v>
      </c>
      <c r="T105" s="822">
        <v>8.9999999999999998E-4</v>
      </c>
      <c r="U105" s="135">
        <v>1.4E-3</v>
      </c>
      <c r="V105" s="134"/>
      <c r="W105" s="2"/>
      <c r="X105" s="2"/>
      <c r="Y105" s="2"/>
      <c r="Z105" s="2"/>
      <c r="AA105" s="2"/>
    </row>
    <row r="106" spans="2:27">
      <c r="B106" s="1014"/>
      <c r="C106" s="1017"/>
      <c r="D106" s="196" t="s">
        <v>1813</v>
      </c>
      <c r="E106" s="94">
        <v>2.0369299999999999</v>
      </c>
      <c r="F106" s="94">
        <v>2.0331999999999999</v>
      </c>
      <c r="G106" s="94">
        <v>2.6700000000000001E-3</v>
      </c>
      <c r="H106" s="94">
        <v>1.07E-3</v>
      </c>
      <c r="Q106" s="136"/>
      <c r="R106" s="1037"/>
      <c r="S106" s="813" t="s">
        <v>229</v>
      </c>
      <c r="T106" s="822">
        <v>1E-3</v>
      </c>
      <c r="U106" s="135">
        <v>1.5E-3</v>
      </c>
      <c r="V106" s="134"/>
      <c r="W106" s="2"/>
      <c r="X106" s="2"/>
      <c r="Y106" s="2"/>
      <c r="Z106" s="2"/>
      <c r="AA106" s="2"/>
    </row>
    <row r="107" spans="2:27">
      <c r="B107" s="1014"/>
      <c r="C107" s="1017"/>
      <c r="D107" s="196" t="s">
        <v>1805</v>
      </c>
      <c r="E107" s="94">
        <v>0.20491999999999999</v>
      </c>
      <c r="F107" s="94">
        <v>0.20455000000000001</v>
      </c>
      <c r="G107" s="94">
        <v>2.7E-4</v>
      </c>
      <c r="H107" s="94">
        <v>1.1E-4</v>
      </c>
      <c r="Q107" s="136"/>
      <c r="R107" s="15" t="s">
        <v>249</v>
      </c>
      <c r="S107" s="813" t="s">
        <v>250</v>
      </c>
      <c r="T107" s="822">
        <v>5.1000000000000004E-3</v>
      </c>
      <c r="U107" s="135">
        <v>4.7999999999999996E-3</v>
      </c>
      <c r="V107" s="134"/>
      <c r="W107" s="2"/>
      <c r="X107" s="2"/>
      <c r="Y107" s="2"/>
      <c r="Z107" s="2"/>
      <c r="AA107" s="2"/>
    </row>
    <row r="108" spans="2:27">
      <c r="B108" s="1014"/>
      <c r="C108" s="1018"/>
      <c r="D108" s="196" t="s">
        <v>1806</v>
      </c>
      <c r="E108" s="94">
        <v>0.18443000000000001</v>
      </c>
      <c r="F108" s="94">
        <v>0.18409</v>
      </c>
      <c r="G108" s="94">
        <v>2.4000000000000001E-4</v>
      </c>
      <c r="H108" s="94">
        <v>1E-4</v>
      </c>
      <c r="Q108" s="136"/>
      <c r="R108" s="15" t="s">
        <v>254</v>
      </c>
      <c r="S108" s="823"/>
      <c r="T108" s="824">
        <v>0.73699999999999999</v>
      </c>
      <c r="U108" s="137">
        <v>0.05</v>
      </c>
      <c r="V108" s="134"/>
      <c r="W108" s="134"/>
      <c r="X108" s="2"/>
      <c r="Y108" s="2"/>
      <c r="Z108" s="2"/>
      <c r="AA108" s="2"/>
    </row>
    <row r="109" spans="2:27">
      <c r="B109" s="1014"/>
      <c r="C109" s="1016" t="s">
        <v>1815</v>
      </c>
      <c r="D109" s="196" t="s">
        <v>1804</v>
      </c>
      <c r="E109" s="74">
        <v>2610.2600000000002</v>
      </c>
      <c r="F109" s="74">
        <v>2607.71</v>
      </c>
      <c r="G109" s="74">
        <v>1.17</v>
      </c>
      <c r="H109" s="74">
        <v>1.39</v>
      </c>
      <c r="Q109" s="136"/>
      <c r="R109" s="15" t="s">
        <v>258</v>
      </c>
      <c r="S109" s="823"/>
      <c r="T109" s="824">
        <v>1.966</v>
      </c>
      <c r="U109" s="137">
        <v>0.17499999999999999</v>
      </c>
      <c r="V109" s="134"/>
      <c r="W109" s="134"/>
      <c r="X109" s="2"/>
      <c r="Y109" s="2"/>
      <c r="Z109" s="2"/>
      <c r="AA109" s="2"/>
    </row>
    <row r="110" spans="2:27">
      <c r="B110" s="1014"/>
      <c r="C110" s="1017"/>
      <c r="D110" s="196" t="s">
        <v>1510</v>
      </c>
      <c r="E110" s="94">
        <v>0.95613999999999999</v>
      </c>
      <c r="F110" s="94">
        <v>0.95521</v>
      </c>
      <c r="G110" s="94">
        <v>4.2999999999999999E-4</v>
      </c>
      <c r="H110" s="94">
        <v>5.1000000000000004E-4</v>
      </c>
      <c r="Q110" s="136"/>
      <c r="R110" s="15" t="s">
        <v>262</v>
      </c>
      <c r="S110" s="823"/>
      <c r="T110" s="824">
        <v>1.966</v>
      </c>
      <c r="U110" s="137">
        <v>0.17499999999999999</v>
      </c>
      <c r="V110" s="134"/>
      <c r="W110" s="134"/>
      <c r="X110" s="2"/>
      <c r="Y110" s="2"/>
      <c r="Z110" s="2"/>
      <c r="AA110" s="2"/>
    </row>
    <row r="111" spans="2:27">
      <c r="B111" s="1014"/>
      <c r="C111" s="1017"/>
      <c r="D111" s="196" t="s">
        <v>1805</v>
      </c>
      <c r="E111" s="94">
        <v>0.20164000000000001</v>
      </c>
      <c r="F111" s="94">
        <v>0.20144999999999999</v>
      </c>
      <c r="G111" s="94">
        <v>9.0000000000000006E-5</v>
      </c>
      <c r="H111" s="94">
        <v>1.1E-4</v>
      </c>
      <c r="Q111" s="136"/>
      <c r="R111" s="15" t="s">
        <v>266</v>
      </c>
      <c r="S111" s="823"/>
      <c r="T111" s="824">
        <v>3.6999999999999998E-2</v>
      </c>
      <c r="U111" s="137">
        <v>6.7000000000000004E-2</v>
      </c>
      <c r="V111" s="134"/>
      <c r="W111" s="134"/>
      <c r="X111" s="2"/>
      <c r="Y111" s="2"/>
      <c r="Z111" s="2"/>
      <c r="AA111" s="2"/>
    </row>
    <row r="112" spans="2:27">
      <c r="B112" s="1015"/>
      <c r="C112" s="1018"/>
      <c r="D112" s="196" t="s">
        <v>1806</v>
      </c>
      <c r="E112" s="94">
        <v>0.18551000000000001</v>
      </c>
      <c r="F112" s="94">
        <v>0.18532999999999999</v>
      </c>
      <c r="G112" s="94">
        <v>8.0000000000000007E-5</v>
      </c>
      <c r="H112" s="94">
        <v>1E-4</v>
      </c>
      <c r="Q112" s="136"/>
      <c r="R112" s="15" t="s">
        <v>269</v>
      </c>
      <c r="S112" s="823"/>
      <c r="T112" s="824">
        <v>6.6000000000000003E-2</v>
      </c>
      <c r="U112" s="137">
        <v>0.17499999999999999</v>
      </c>
      <c r="V112" s="134"/>
      <c r="W112" s="134"/>
      <c r="X112" s="2"/>
      <c r="Y112" s="2"/>
      <c r="Z112" s="2"/>
      <c r="AA112" s="2"/>
    </row>
    <row r="113" spans="2:27">
      <c r="B113" s="194"/>
      <c r="C113" s="194"/>
      <c r="D113" s="194"/>
      <c r="E113" s="95"/>
      <c r="F113" s="95"/>
      <c r="G113" s="95"/>
      <c r="H113" s="95"/>
      <c r="Q113" s="136"/>
      <c r="R113" s="15" t="s">
        <v>273</v>
      </c>
      <c r="S113" s="823"/>
      <c r="T113" s="824">
        <v>1.966</v>
      </c>
      <c r="U113" s="137">
        <v>0.17499999999999999</v>
      </c>
      <c r="V113" s="134"/>
      <c r="W113" s="134"/>
      <c r="X113" s="2"/>
      <c r="Y113" s="2"/>
      <c r="Z113" s="2"/>
      <c r="AA113" s="2"/>
    </row>
    <row r="114" spans="2:27">
      <c r="B114" s="194"/>
      <c r="C114" s="194"/>
      <c r="D114" s="194"/>
      <c r="E114" s="95"/>
      <c r="F114" s="95"/>
      <c r="G114" s="95"/>
      <c r="H114" s="95"/>
      <c r="Q114" s="136"/>
      <c r="R114" s="15" t="s">
        <v>277</v>
      </c>
      <c r="S114" s="823"/>
      <c r="T114" s="824">
        <v>5.5E-2</v>
      </c>
      <c r="U114" s="137">
        <v>6.7000000000000004E-2</v>
      </c>
      <c r="V114" s="134"/>
      <c r="W114" s="134"/>
      <c r="X114" s="2"/>
      <c r="Y114" s="2"/>
      <c r="Z114" s="2"/>
      <c r="AA114" s="2"/>
    </row>
    <row r="115" spans="2:27" ht="18">
      <c r="B115" s="195" t="s">
        <v>354</v>
      </c>
      <c r="C115" s="195" t="s">
        <v>1210</v>
      </c>
      <c r="D115" s="195" t="s">
        <v>194</v>
      </c>
      <c r="E115" s="196" t="s">
        <v>413</v>
      </c>
      <c r="F115" s="196" t="s">
        <v>414</v>
      </c>
      <c r="G115" s="96" t="s">
        <v>415</v>
      </c>
      <c r="H115" s="96" t="s">
        <v>416</v>
      </c>
      <c r="Q115" s="136"/>
      <c r="R115" s="15" t="s">
        <v>279</v>
      </c>
      <c r="S115" s="823"/>
      <c r="T115" s="824">
        <v>0.19700000000000001</v>
      </c>
      <c r="U115" s="137">
        <v>0.17499999999999999</v>
      </c>
      <c r="V115" s="134"/>
      <c r="W115" s="134"/>
      <c r="X115" s="2"/>
      <c r="Y115" s="2"/>
      <c r="Z115" s="2"/>
      <c r="AA115" s="2"/>
    </row>
    <row r="116" spans="2:27">
      <c r="B116" s="1013" t="s">
        <v>1816</v>
      </c>
      <c r="C116" s="1016" t="s">
        <v>1817</v>
      </c>
      <c r="D116" s="196" t="s">
        <v>1804</v>
      </c>
      <c r="E116" s="76">
        <v>3218.92</v>
      </c>
      <c r="F116" s="76">
        <v>3127.67</v>
      </c>
      <c r="G116" s="76">
        <v>61.46</v>
      </c>
      <c r="H116" s="76">
        <v>29.8</v>
      </c>
      <c r="Q116" s="2"/>
      <c r="R116" s="138" t="s">
        <v>281</v>
      </c>
      <c r="S116" s="823"/>
      <c r="T116" s="824">
        <v>0.19700000000000001</v>
      </c>
      <c r="U116" s="137">
        <v>0.17499999999999999</v>
      </c>
      <c r="V116" s="134"/>
      <c r="W116" s="134"/>
      <c r="X116" s="2"/>
      <c r="Y116" s="2"/>
      <c r="Z116" s="2"/>
      <c r="AA116" s="2"/>
    </row>
    <row r="117" spans="2:27">
      <c r="B117" s="1014"/>
      <c r="C117" s="1017"/>
      <c r="D117" s="196" t="s">
        <v>1510</v>
      </c>
      <c r="E117" s="94">
        <v>2.2910499999999998</v>
      </c>
      <c r="F117" s="94">
        <v>2.2261000000000002</v>
      </c>
      <c r="G117" s="94">
        <v>4.3740000000000001E-2</v>
      </c>
      <c r="H117" s="94">
        <v>2.121E-2</v>
      </c>
      <c r="Q117" s="136"/>
      <c r="R117" s="15" t="s">
        <v>276</v>
      </c>
      <c r="S117" s="823"/>
      <c r="T117" s="822">
        <v>5.0000000000000001E-4</v>
      </c>
      <c r="U117" s="137">
        <v>1E-3</v>
      </c>
      <c r="V117" s="134"/>
      <c r="W117" s="134"/>
      <c r="X117" s="2"/>
      <c r="Y117" s="2"/>
      <c r="Z117" s="2"/>
      <c r="AA117" s="2"/>
    </row>
    <row r="118" spans="2:27">
      <c r="B118" s="1014"/>
      <c r="C118" s="1017"/>
      <c r="D118" s="196" t="s">
        <v>1805</v>
      </c>
      <c r="E118" s="94">
        <v>0.25741999999999998</v>
      </c>
      <c r="F118" s="94">
        <v>0.25013000000000002</v>
      </c>
      <c r="G118" s="94">
        <v>4.9100000000000003E-3</v>
      </c>
      <c r="H118" s="94">
        <v>2.3800000000000002E-3</v>
      </c>
      <c r="Q118" s="136"/>
      <c r="R118" s="15" t="s">
        <v>286</v>
      </c>
      <c r="S118" s="823"/>
      <c r="T118" s="824">
        <v>5.0000000000000001E-3</v>
      </c>
      <c r="U118" s="137">
        <v>5.0000000000000001E-3</v>
      </c>
      <c r="V118" s="134"/>
      <c r="W118" s="134"/>
      <c r="X118" s="2"/>
      <c r="Y118" s="2"/>
      <c r="Z118" s="2"/>
      <c r="AA118" s="2"/>
    </row>
    <row r="119" spans="2:27" ht="15.75" thickBot="1">
      <c r="B119" s="1014"/>
      <c r="C119" s="1018"/>
      <c r="D119" s="196" t="s">
        <v>1806</v>
      </c>
      <c r="E119" s="94">
        <v>0.24454999999999999</v>
      </c>
      <c r="F119" s="94">
        <v>0.23762</v>
      </c>
      <c r="G119" s="94">
        <v>4.6699999999999997E-3</v>
      </c>
      <c r="H119" s="94">
        <v>2.2599999999999999E-3</v>
      </c>
      <c r="Q119" s="2"/>
      <c r="R119" s="123" t="s">
        <v>289</v>
      </c>
      <c r="S119" s="139"/>
      <c r="T119" s="140">
        <v>5.0000000000000001E-3</v>
      </c>
      <c r="U119" s="141">
        <v>5.0000000000000001E-3</v>
      </c>
      <c r="V119" s="134"/>
      <c r="W119" s="134"/>
      <c r="X119" s="2"/>
      <c r="Y119" s="2"/>
      <c r="Z119" s="2"/>
      <c r="AA119" s="2"/>
    </row>
    <row r="120" spans="2:27">
      <c r="B120" s="1014"/>
      <c r="C120" s="1016" t="s">
        <v>1818</v>
      </c>
      <c r="D120" s="196" t="s">
        <v>1804</v>
      </c>
      <c r="E120" s="76">
        <v>3181.37</v>
      </c>
      <c r="F120" s="76">
        <v>3149.67</v>
      </c>
      <c r="G120" s="76">
        <v>1.91</v>
      </c>
      <c r="H120" s="76">
        <v>29.8</v>
      </c>
      <c r="Q120" s="2"/>
      <c r="R120" s="59" t="s">
        <v>1808</v>
      </c>
      <c r="S120" s="142"/>
      <c r="T120" s="142"/>
      <c r="U120" s="142"/>
      <c r="V120" s="134"/>
      <c r="W120" s="134"/>
      <c r="X120" s="2"/>
      <c r="Y120" s="2"/>
      <c r="Z120" s="2"/>
      <c r="AA120" s="2"/>
    </row>
    <row r="121" spans="2:27">
      <c r="B121" s="1014"/>
      <c r="C121" s="1017"/>
      <c r="D121" s="196" t="s">
        <v>1510</v>
      </c>
      <c r="E121" s="94">
        <v>2.5430600000000001</v>
      </c>
      <c r="F121" s="94">
        <v>2.5177200000000002</v>
      </c>
      <c r="G121" s="94">
        <v>1.5200000000000001E-3</v>
      </c>
      <c r="H121" s="94">
        <v>2.3820000000000001E-2</v>
      </c>
      <c r="Q121" s="2"/>
      <c r="R121" s="2"/>
      <c r="S121" s="2"/>
      <c r="T121" s="2"/>
      <c r="U121" s="2"/>
      <c r="V121" s="2"/>
      <c r="W121" s="2"/>
      <c r="X121" s="2"/>
      <c r="Y121" s="2"/>
      <c r="Z121" s="2"/>
      <c r="AA121" s="2"/>
    </row>
    <row r="122" spans="2:27" ht="18.75">
      <c r="B122" s="1014"/>
      <c r="C122" s="1017"/>
      <c r="D122" s="196" t="s">
        <v>1805</v>
      </c>
      <c r="E122" s="94">
        <v>0.26079999999999998</v>
      </c>
      <c r="F122" s="94">
        <v>0.25819999999999999</v>
      </c>
      <c r="G122" s="94">
        <v>1.6000000000000001E-4</v>
      </c>
      <c r="H122" s="94">
        <v>2.4399999999999999E-3</v>
      </c>
      <c r="Q122" s="218" t="s">
        <v>1819</v>
      </c>
      <c r="R122" s="803" t="s">
        <v>1820</v>
      </c>
      <c r="S122" s="825"/>
      <c r="T122" s="825"/>
      <c r="U122" s="825"/>
      <c r="V122" s="220"/>
      <c r="W122" s="220"/>
      <c r="X122" s="220"/>
      <c r="Y122" s="220"/>
      <c r="Z122" s="220"/>
      <c r="AA122" s="221"/>
    </row>
    <row r="123" spans="2:27" ht="15.75" thickBot="1">
      <c r="B123" s="1014"/>
      <c r="C123" s="1018"/>
      <c r="D123" s="196" t="s">
        <v>1806</v>
      </c>
      <c r="E123" s="94">
        <v>0.24776000000000001</v>
      </c>
      <c r="F123" s="94">
        <v>0.24529000000000001</v>
      </c>
      <c r="G123" s="94">
        <v>1.4999999999999999E-4</v>
      </c>
      <c r="H123" s="94">
        <v>2.32E-3</v>
      </c>
      <c r="Q123" s="2"/>
      <c r="R123" s="88"/>
      <c r="S123" s="2"/>
      <c r="T123" s="2"/>
      <c r="U123" s="2"/>
      <c r="V123" s="2"/>
      <c r="W123" s="2"/>
      <c r="X123" s="2"/>
      <c r="Y123" s="2"/>
      <c r="Z123" s="2"/>
      <c r="AA123" s="2"/>
    </row>
    <row r="124" spans="2:27" ht="53.25" thickBot="1">
      <c r="B124" s="1014"/>
      <c r="C124" s="1022" t="s">
        <v>1821</v>
      </c>
      <c r="D124" s="196" t="s">
        <v>1804</v>
      </c>
      <c r="E124" s="76">
        <v>3165.36</v>
      </c>
      <c r="F124" s="76">
        <v>3149.67</v>
      </c>
      <c r="G124" s="76">
        <v>7.85</v>
      </c>
      <c r="H124" s="76">
        <v>7.84</v>
      </c>
      <c r="Q124" s="2"/>
      <c r="R124" s="143" t="s">
        <v>205</v>
      </c>
      <c r="S124" s="110" t="s">
        <v>1822</v>
      </c>
      <c r="T124" s="111" t="s">
        <v>1823</v>
      </c>
      <c r="U124" s="2"/>
      <c r="V124" s="2"/>
      <c r="W124" s="2"/>
      <c r="X124" s="2"/>
      <c r="Y124" s="2"/>
      <c r="Z124" s="2"/>
      <c r="AA124" s="2"/>
    </row>
    <row r="125" spans="2:27">
      <c r="B125" s="1014"/>
      <c r="C125" s="1023"/>
      <c r="D125" s="196" t="s">
        <v>1510</v>
      </c>
      <c r="E125" s="94">
        <v>2.5404200000000001</v>
      </c>
      <c r="F125" s="94">
        <v>2.5278200000000002</v>
      </c>
      <c r="G125" s="94">
        <v>6.3E-3</v>
      </c>
      <c r="H125" s="94">
        <v>6.3E-3</v>
      </c>
      <c r="Q125" s="2"/>
      <c r="R125" s="15" t="s">
        <v>302</v>
      </c>
      <c r="S125" s="798">
        <v>0.11</v>
      </c>
      <c r="T125" s="47">
        <v>0.56999999999999995</v>
      </c>
      <c r="U125" s="2"/>
      <c r="V125" s="144"/>
      <c r="W125" s="144"/>
      <c r="X125" s="2"/>
      <c r="Y125" s="2"/>
      <c r="Z125" s="2"/>
      <c r="AA125" s="2"/>
    </row>
    <row r="126" spans="2:27">
      <c r="B126" s="1014"/>
      <c r="C126" s="1023"/>
      <c r="D126" s="196" t="s">
        <v>1805</v>
      </c>
      <c r="E126" s="94">
        <v>0.25974000000000003</v>
      </c>
      <c r="F126" s="94">
        <v>0.25845000000000001</v>
      </c>
      <c r="G126" s="94">
        <v>6.4000000000000005E-4</v>
      </c>
      <c r="H126" s="94">
        <v>6.4000000000000005E-4</v>
      </c>
      <c r="Q126" s="2"/>
      <c r="R126" s="15" t="s">
        <v>298</v>
      </c>
      <c r="S126" s="798">
        <v>0.64</v>
      </c>
      <c r="T126" s="47">
        <v>0.22</v>
      </c>
      <c r="U126" s="2"/>
      <c r="V126" s="144"/>
      <c r="W126" s="144"/>
      <c r="X126" s="2"/>
      <c r="Y126" s="2"/>
      <c r="Z126" s="2"/>
      <c r="AA126" s="2"/>
    </row>
    <row r="127" spans="2:27">
      <c r="B127" s="1014"/>
      <c r="C127" s="1024"/>
      <c r="D127" s="196" t="s">
        <v>1806</v>
      </c>
      <c r="E127" s="94">
        <v>0.24675</v>
      </c>
      <c r="F127" s="94">
        <v>0.24553</v>
      </c>
      <c r="G127" s="94">
        <v>6.0999999999999997E-4</v>
      </c>
      <c r="H127" s="94">
        <v>6.0999999999999997E-4</v>
      </c>
      <c r="Q127" s="2"/>
      <c r="R127" s="15" t="s">
        <v>301</v>
      </c>
      <c r="S127" s="798">
        <v>0.06</v>
      </c>
      <c r="T127" s="47">
        <v>0.45</v>
      </c>
      <c r="U127" s="2"/>
      <c r="V127" s="144"/>
      <c r="W127" s="144"/>
      <c r="X127" s="2"/>
      <c r="Y127" s="2"/>
      <c r="Z127" s="2"/>
      <c r="AA127" s="2"/>
    </row>
    <row r="128" spans="2:27">
      <c r="B128" s="1014"/>
      <c r="C128" s="1022" t="s">
        <v>1824</v>
      </c>
      <c r="D128" s="196" t="s">
        <v>1804</v>
      </c>
      <c r="E128" s="76">
        <v>3088.23</v>
      </c>
      <c r="F128" s="76">
        <v>3047</v>
      </c>
      <c r="G128" s="76">
        <v>0.36</v>
      </c>
      <c r="H128" s="76">
        <v>40.86</v>
      </c>
      <c r="Q128" s="2"/>
      <c r="R128" s="15" t="s">
        <v>308</v>
      </c>
      <c r="S128" s="798">
        <v>0.8</v>
      </c>
      <c r="T128" s="47">
        <v>0.26</v>
      </c>
      <c r="U128" s="2"/>
      <c r="V128" s="144"/>
      <c r="W128" s="144"/>
      <c r="X128" s="2"/>
      <c r="Y128" s="2"/>
      <c r="Z128" s="2"/>
      <c r="AA128" s="2"/>
    </row>
    <row r="129" spans="2:28">
      <c r="B129" s="1014"/>
      <c r="C129" s="1023"/>
      <c r="D129" s="196" t="s">
        <v>1510</v>
      </c>
      <c r="E129" s="94">
        <v>2.5941100000000001</v>
      </c>
      <c r="F129" s="94">
        <v>2.5595599999999998</v>
      </c>
      <c r="G129" s="94">
        <v>2.9999999999999997E-4</v>
      </c>
      <c r="H129" s="94">
        <v>3.4250000000000003E-2</v>
      </c>
      <c r="Q129" s="2"/>
      <c r="R129" s="15" t="s">
        <v>294</v>
      </c>
      <c r="S129" s="798">
        <v>1.26</v>
      </c>
      <c r="T129" s="47">
        <v>0.22</v>
      </c>
      <c r="U129" s="2"/>
      <c r="V129" s="144"/>
      <c r="W129" s="144"/>
      <c r="X129" s="2"/>
      <c r="Y129" s="2"/>
      <c r="Z129" s="2"/>
      <c r="AA129" s="2"/>
    </row>
    <row r="130" spans="2:28">
      <c r="B130" s="1014"/>
      <c r="C130" s="1023"/>
      <c r="D130" s="196" t="s">
        <v>1805</v>
      </c>
      <c r="E130" s="94">
        <v>0.26023000000000002</v>
      </c>
      <c r="F130" s="94">
        <v>0.25677</v>
      </c>
      <c r="G130" s="94">
        <v>3.0000000000000001E-5</v>
      </c>
      <c r="H130" s="94">
        <v>3.4299999999999999E-3</v>
      </c>
      <c r="Q130" s="2"/>
      <c r="R130" s="15" t="s">
        <v>297</v>
      </c>
      <c r="S130" s="798">
        <v>1.44</v>
      </c>
      <c r="T130" s="47">
        <v>0.26</v>
      </c>
      <c r="U130" s="2"/>
      <c r="V130" s="144"/>
      <c r="W130" s="144"/>
      <c r="X130" s="2"/>
      <c r="Y130" s="2"/>
      <c r="Z130" s="2"/>
      <c r="AA130" s="2"/>
    </row>
    <row r="131" spans="2:28">
      <c r="B131" s="1014"/>
      <c r="C131" s="1024"/>
      <c r="D131" s="196" t="s">
        <v>1806</v>
      </c>
      <c r="E131" s="94">
        <v>0.24462</v>
      </c>
      <c r="F131" s="94">
        <v>0.24137</v>
      </c>
      <c r="G131" s="94">
        <v>3.0000000000000001E-5</v>
      </c>
      <c r="H131" s="94">
        <v>3.2200000000000002E-3</v>
      </c>
      <c r="Q131" s="2"/>
      <c r="R131" s="15" t="s">
        <v>312</v>
      </c>
      <c r="S131" s="798">
        <v>0.5</v>
      </c>
      <c r="T131" s="47">
        <v>0.22</v>
      </c>
      <c r="U131" s="2"/>
      <c r="V131" s="144"/>
      <c r="W131" s="144"/>
      <c r="X131" s="2"/>
      <c r="Y131" s="2"/>
      <c r="Z131" s="2"/>
      <c r="AA131" s="2"/>
    </row>
    <row r="132" spans="2:28">
      <c r="B132" s="1014"/>
      <c r="C132" s="1022" t="s">
        <v>1825</v>
      </c>
      <c r="D132" s="196" t="s">
        <v>1804</v>
      </c>
      <c r="E132" s="76">
        <v>3205.55</v>
      </c>
      <c r="F132" s="76">
        <v>3164.33</v>
      </c>
      <c r="G132" s="76">
        <v>0.36</v>
      </c>
      <c r="H132" s="76">
        <v>40.86</v>
      </c>
      <c r="Q132" s="2"/>
      <c r="R132" s="15" t="s">
        <v>313</v>
      </c>
      <c r="S132" s="826">
        <v>0.56999999999999995</v>
      </c>
      <c r="T132" s="47">
        <v>0.26</v>
      </c>
      <c r="U132" s="2"/>
      <c r="V132" s="144"/>
      <c r="W132" s="144"/>
      <c r="X132" s="2"/>
      <c r="Y132" s="2"/>
      <c r="Z132" s="2"/>
      <c r="AA132" s="2"/>
    </row>
    <row r="133" spans="2:28">
      <c r="B133" s="1014"/>
      <c r="C133" s="1023"/>
      <c r="D133" s="196" t="s">
        <v>1510</v>
      </c>
      <c r="E133" s="94">
        <v>2.6869700000000001</v>
      </c>
      <c r="F133" s="94">
        <v>2.6524200000000002</v>
      </c>
      <c r="G133" s="94">
        <v>2.9999999999999997E-4</v>
      </c>
      <c r="H133" s="94">
        <v>3.4250000000000003E-2</v>
      </c>
      <c r="Q133" s="2"/>
      <c r="R133" s="15" t="s">
        <v>303</v>
      </c>
      <c r="S133" s="826">
        <v>0</v>
      </c>
      <c r="T133" s="47">
        <v>0.3</v>
      </c>
      <c r="U133" s="2"/>
      <c r="V133" s="144"/>
      <c r="W133" s="144"/>
      <c r="X133" s="2"/>
      <c r="Y133" s="2"/>
      <c r="Z133" s="2"/>
      <c r="AA133" s="2"/>
    </row>
    <row r="134" spans="2:28">
      <c r="B134" s="1014"/>
      <c r="C134" s="1023"/>
      <c r="D134" s="196" t="s">
        <v>1805</v>
      </c>
      <c r="E134" s="94">
        <v>0.26879999999999998</v>
      </c>
      <c r="F134" s="94">
        <v>0.26534000000000002</v>
      </c>
      <c r="G134" s="94">
        <v>3.0000000000000001E-5</v>
      </c>
      <c r="H134" s="94">
        <v>3.4299999999999999E-3</v>
      </c>
      <c r="Q134" s="2"/>
      <c r="R134" s="15" t="s">
        <v>305</v>
      </c>
      <c r="S134" s="798">
        <v>7.06</v>
      </c>
      <c r="T134" s="47">
        <v>0.11</v>
      </c>
      <c r="U134" s="2"/>
      <c r="V134" s="144"/>
      <c r="W134" s="144"/>
      <c r="X134" s="2"/>
      <c r="Y134" s="2"/>
      <c r="Z134" s="2"/>
      <c r="AA134" s="2"/>
    </row>
    <row r="135" spans="2:28">
      <c r="B135" s="1014"/>
      <c r="C135" s="1024"/>
      <c r="D135" s="196" t="s">
        <v>1806</v>
      </c>
      <c r="E135" s="94">
        <v>0.25267000000000001</v>
      </c>
      <c r="F135" s="94">
        <v>0.24942</v>
      </c>
      <c r="G135" s="94">
        <v>3.0000000000000001E-5</v>
      </c>
      <c r="H135" s="94">
        <v>3.2200000000000002E-3</v>
      </c>
      <c r="Q135" s="2"/>
      <c r="R135" s="15" t="s">
        <v>309</v>
      </c>
      <c r="S135" s="798">
        <v>0.5</v>
      </c>
      <c r="T135" s="47">
        <v>0.22</v>
      </c>
      <c r="U135" s="2"/>
      <c r="V135" s="144"/>
      <c r="W135" s="144"/>
      <c r="X135" s="2"/>
      <c r="Y135" s="2"/>
      <c r="Z135" s="2"/>
      <c r="AA135" s="2"/>
    </row>
    <row r="136" spans="2:28">
      <c r="B136" s="1014"/>
      <c r="C136" s="1022" t="s">
        <v>1826</v>
      </c>
      <c r="D136" s="196" t="s">
        <v>1804</v>
      </c>
      <c r="E136" s="76">
        <v>3217.82</v>
      </c>
      <c r="F136" s="76">
        <v>3205.85</v>
      </c>
      <c r="G136" s="76">
        <v>4.16</v>
      </c>
      <c r="H136" s="76">
        <v>7.81</v>
      </c>
      <c r="Q136" s="2"/>
      <c r="R136" s="15" t="s">
        <v>310</v>
      </c>
      <c r="S136" s="798">
        <v>0.56999999999999995</v>
      </c>
      <c r="T136" s="47">
        <v>0.26</v>
      </c>
      <c r="U136" s="2"/>
      <c r="V136" s="144"/>
      <c r="W136" s="144"/>
      <c r="X136" s="2"/>
      <c r="Y136" s="2"/>
      <c r="Z136" s="2"/>
      <c r="AA136" s="2"/>
    </row>
    <row r="137" spans="2:28">
      <c r="B137" s="1014"/>
      <c r="C137" s="1023"/>
      <c r="D137" s="196" t="s">
        <v>1510</v>
      </c>
      <c r="E137" s="94">
        <v>3.1796600000000002</v>
      </c>
      <c r="F137" s="94">
        <v>3.16784</v>
      </c>
      <c r="G137" s="94">
        <v>4.1099999999999999E-3</v>
      </c>
      <c r="H137" s="94">
        <v>7.7099999999999998E-3</v>
      </c>
      <c r="Q137" s="2"/>
      <c r="R137" s="145" t="s">
        <v>314</v>
      </c>
      <c r="S137" s="146">
        <v>0.5</v>
      </c>
      <c r="T137" s="147">
        <v>0.22</v>
      </c>
      <c r="U137" s="2"/>
      <c r="V137" s="144"/>
      <c r="W137" s="144"/>
      <c r="X137" s="2"/>
      <c r="Y137" s="2"/>
      <c r="Z137" s="2"/>
      <c r="AA137" s="2"/>
    </row>
    <row r="138" spans="2:28" ht="15.75" thickBot="1">
      <c r="B138" s="1014"/>
      <c r="C138" s="1023"/>
      <c r="D138" s="196" t="s">
        <v>1805</v>
      </c>
      <c r="E138" s="94">
        <v>0.28492000000000001</v>
      </c>
      <c r="F138" s="94">
        <v>0.28386</v>
      </c>
      <c r="G138" s="94">
        <v>3.6999999999999999E-4</v>
      </c>
      <c r="H138" s="94">
        <v>6.8999999999999997E-4</v>
      </c>
      <c r="Q138" s="2"/>
      <c r="R138" s="148" t="s">
        <v>315</v>
      </c>
      <c r="S138" s="57">
        <v>0.56999999999999995</v>
      </c>
      <c r="T138" s="149">
        <v>0.26</v>
      </c>
      <c r="U138" s="2"/>
      <c r="V138" s="144"/>
      <c r="W138" s="144"/>
      <c r="X138" s="2"/>
      <c r="Y138" s="2"/>
      <c r="Z138" s="2"/>
      <c r="AA138" s="2"/>
    </row>
    <row r="139" spans="2:28">
      <c r="B139" s="1014"/>
      <c r="C139" s="1024"/>
      <c r="D139" s="196" t="s">
        <v>1806</v>
      </c>
      <c r="E139" s="94">
        <v>0.26782</v>
      </c>
      <c r="F139" s="94">
        <v>0.26683000000000001</v>
      </c>
      <c r="G139" s="94">
        <v>3.5E-4</v>
      </c>
      <c r="H139" s="94">
        <v>6.4999999999999997E-4</v>
      </c>
      <c r="Q139" s="2"/>
      <c r="R139" s="59" t="s">
        <v>1827</v>
      </c>
      <c r="S139" s="833"/>
      <c r="T139" s="833"/>
      <c r="U139" s="833"/>
      <c r="V139" s="833"/>
      <c r="W139" s="833"/>
      <c r="X139" s="2"/>
      <c r="Y139" s="2"/>
      <c r="Z139" s="2"/>
      <c r="AA139" s="2"/>
    </row>
    <row r="140" spans="2:28">
      <c r="B140" s="1014"/>
      <c r="C140" s="1022" t="s">
        <v>1828</v>
      </c>
      <c r="D140" s="196" t="s">
        <v>1804</v>
      </c>
      <c r="E140" s="76">
        <v>3229.86</v>
      </c>
      <c r="F140" s="76">
        <v>3190</v>
      </c>
      <c r="G140" s="76">
        <v>3.43</v>
      </c>
      <c r="H140" s="76">
        <v>36.43</v>
      </c>
      <c r="Q140" s="2"/>
      <c r="R140" s="150" t="s">
        <v>1829</v>
      </c>
      <c r="S140" s="833"/>
      <c r="T140" s="833"/>
      <c r="U140" s="833"/>
      <c r="V140" s="833"/>
      <c r="W140" s="833"/>
      <c r="X140" s="2"/>
      <c r="Y140" s="2"/>
      <c r="Z140" s="2"/>
      <c r="AA140" s="2"/>
    </row>
    <row r="141" spans="2:28">
      <c r="B141" s="1014"/>
      <c r="C141" s="1023"/>
      <c r="D141" s="196" t="s">
        <v>1510</v>
      </c>
      <c r="E141" s="94">
        <v>2.7582100000000001</v>
      </c>
      <c r="F141" s="94">
        <v>2.72417</v>
      </c>
      <c r="G141" s="94">
        <v>2.9299999999999999E-3</v>
      </c>
      <c r="H141" s="94">
        <v>3.1109999999999999E-2</v>
      </c>
    </row>
    <row r="142" spans="2:28">
      <c r="B142" s="1014"/>
      <c r="C142" s="1023"/>
      <c r="D142" s="196" t="s">
        <v>1805</v>
      </c>
      <c r="E142" s="94">
        <v>0.27315</v>
      </c>
      <c r="F142" s="94">
        <v>0.26978000000000002</v>
      </c>
      <c r="G142" s="94">
        <v>2.9E-4</v>
      </c>
      <c r="H142" s="94">
        <v>3.0799999999999998E-3</v>
      </c>
    </row>
    <row r="143" spans="2:28" ht="15.75">
      <c r="B143" s="1014"/>
      <c r="C143" s="1024"/>
      <c r="D143" s="196" t="s">
        <v>1806</v>
      </c>
      <c r="E143" s="94">
        <v>0.25675999999999999</v>
      </c>
      <c r="F143" s="94">
        <v>0.25358999999999998</v>
      </c>
      <c r="G143" s="94">
        <v>2.7E-4</v>
      </c>
      <c r="H143" s="94">
        <v>2.8999999999999998E-3</v>
      </c>
      <c r="Q143" s="218" t="s">
        <v>1830</v>
      </c>
      <c r="R143" s="1038" t="s">
        <v>443</v>
      </c>
      <c r="S143" s="1039"/>
      <c r="T143" s="1039"/>
      <c r="U143" s="1039"/>
      <c r="V143" s="1039"/>
      <c r="W143" s="220"/>
      <c r="X143" s="220"/>
      <c r="Y143" s="220"/>
      <c r="Z143" s="220"/>
      <c r="AA143" s="221"/>
      <c r="AB143" s="2"/>
    </row>
    <row r="144" spans="2:28" ht="15.75" thickBot="1">
      <c r="B144" s="1014"/>
      <c r="C144" s="1022" t="s">
        <v>164</v>
      </c>
      <c r="D144" s="196" t="s">
        <v>1804</v>
      </c>
      <c r="E144" s="76">
        <v>3181.89</v>
      </c>
      <c r="F144" s="76">
        <v>3171.09</v>
      </c>
      <c r="G144" s="76">
        <v>3.19</v>
      </c>
      <c r="H144" s="76">
        <v>7.61</v>
      </c>
      <c r="Q144" s="106"/>
      <c r="R144" s="106"/>
      <c r="S144" s="106"/>
      <c r="T144" s="106"/>
      <c r="U144" s="106"/>
      <c r="V144" s="106"/>
      <c r="W144" s="106"/>
      <c r="X144" s="106"/>
      <c r="Y144" s="106"/>
      <c r="Z144" s="106"/>
      <c r="AA144" s="106"/>
      <c r="AB144" s="106"/>
    </row>
    <row r="145" spans="2:28" ht="53.25" thickBot="1">
      <c r="B145" s="1014"/>
      <c r="C145" s="1023"/>
      <c r="D145" s="196" t="s">
        <v>1510</v>
      </c>
      <c r="E145" s="75"/>
      <c r="F145" s="75"/>
      <c r="G145" s="75"/>
      <c r="H145" s="75"/>
      <c r="Q145" s="1"/>
      <c r="R145" s="143" t="s">
        <v>205</v>
      </c>
      <c r="S145" s="110" t="s">
        <v>1831</v>
      </c>
      <c r="T145" s="110" t="s">
        <v>1832</v>
      </c>
      <c r="U145" s="110" t="s">
        <v>1833</v>
      </c>
      <c r="V145" s="111" t="s">
        <v>111</v>
      </c>
      <c r="W145" s="2"/>
      <c r="X145" s="2"/>
      <c r="Y145" s="2"/>
      <c r="Z145" s="2"/>
      <c r="AA145" s="2"/>
      <c r="AB145" s="2"/>
    </row>
    <row r="146" spans="2:28">
      <c r="B146" s="1014"/>
      <c r="C146" s="1023"/>
      <c r="D146" s="196" t="s">
        <v>1805</v>
      </c>
      <c r="E146" s="94">
        <v>0.26909</v>
      </c>
      <c r="F146" s="94">
        <v>0.26817999999999997</v>
      </c>
      <c r="G146" s="94">
        <v>2.7E-4</v>
      </c>
      <c r="H146" s="94">
        <v>6.4000000000000005E-4</v>
      </c>
      <c r="Q146" s="1"/>
      <c r="R146" s="151" t="s">
        <v>1834</v>
      </c>
      <c r="S146" s="152">
        <v>0.34300000000000003</v>
      </c>
      <c r="T146" s="152">
        <v>1.9E-2</v>
      </c>
      <c r="U146" s="152">
        <v>1.0999999999999999E-2</v>
      </c>
      <c r="V146" s="153" t="s">
        <v>448</v>
      </c>
      <c r="W146" s="17"/>
      <c r="X146" s="17"/>
      <c r="Y146" s="17"/>
      <c r="Z146" s="2"/>
      <c r="AA146" s="2"/>
      <c r="AB146" s="2"/>
    </row>
    <row r="147" spans="2:28">
      <c r="B147" s="1014"/>
      <c r="C147" s="1024"/>
      <c r="D147" s="196" t="s">
        <v>1806</v>
      </c>
      <c r="E147" s="94">
        <v>0.25294</v>
      </c>
      <c r="F147" s="94">
        <v>0.25208000000000003</v>
      </c>
      <c r="G147" s="94">
        <v>2.5000000000000001E-4</v>
      </c>
      <c r="H147" s="94">
        <v>6.0999999999999997E-4</v>
      </c>
      <c r="Q147" s="1"/>
      <c r="R147" s="18" t="s">
        <v>1835</v>
      </c>
      <c r="S147" s="827">
        <v>0.47199999999999998</v>
      </c>
      <c r="T147" s="827">
        <v>1.9E-2</v>
      </c>
      <c r="U147" s="827">
        <v>1.7999999999999999E-2</v>
      </c>
      <c r="V147" s="154" t="s">
        <v>448</v>
      </c>
      <c r="W147" s="17"/>
      <c r="X147" s="17"/>
      <c r="Y147" s="17"/>
      <c r="Z147" s="2"/>
      <c r="AA147" s="2"/>
      <c r="AB147" s="2"/>
    </row>
    <row r="148" spans="2:28">
      <c r="B148" s="1014"/>
      <c r="C148" s="1022" t="s">
        <v>1836</v>
      </c>
      <c r="D148" s="196" t="s">
        <v>1804</v>
      </c>
      <c r="E148" s="76">
        <v>3142.87</v>
      </c>
      <c r="F148" s="76">
        <v>3131.33</v>
      </c>
      <c r="G148" s="76">
        <v>3.41</v>
      </c>
      <c r="H148" s="76">
        <v>8.1300000000000008</v>
      </c>
      <c r="Q148" s="1"/>
      <c r="R148" s="18" t="s">
        <v>450</v>
      </c>
      <c r="S148" s="827">
        <v>0.189</v>
      </c>
      <c r="T148" s="811">
        <v>7.0000000000000007E-2</v>
      </c>
      <c r="U148" s="811">
        <v>7.0000000000000001E-3</v>
      </c>
      <c r="V148" s="154" t="s">
        <v>448</v>
      </c>
      <c r="W148" s="17"/>
      <c r="X148" s="17"/>
      <c r="Y148" s="17"/>
      <c r="Z148" s="2"/>
      <c r="AA148" s="2"/>
      <c r="AB148" s="2"/>
    </row>
    <row r="149" spans="2:28">
      <c r="B149" s="1014"/>
      <c r="C149" s="1023"/>
      <c r="D149" s="196" t="s">
        <v>1510</v>
      </c>
      <c r="E149" s="75"/>
      <c r="F149" s="75"/>
      <c r="G149" s="75"/>
      <c r="H149" s="75"/>
      <c r="Q149" s="1"/>
      <c r="R149" s="18" t="s">
        <v>1837</v>
      </c>
      <c r="S149" s="828">
        <v>0.14000000000000001</v>
      </c>
      <c r="T149" s="829">
        <v>8.6999999999999994E-3</v>
      </c>
      <c r="U149" s="829">
        <v>3.0999999999999999E-3</v>
      </c>
      <c r="V149" s="154" t="s">
        <v>452</v>
      </c>
      <c r="W149" s="17"/>
      <c r="X149" s="17"/>
      <c r="Y149" s="112"/>
      <c r="Z149" s="155"/>
      <c r="AA149" s="2"/>
      <c r="AB149" s="2"/>
    </row>
    <row r="150" spans="2:28">
      <c r="B150" s="1014"/>
      <c r="C150" s="1023"/>
      <c r="D150" s="196" t="s">
        <v>1805</v>
      </c>
      <c r="E150" s="94">
        <v>0.24893999999999999</v>
      </c>
      <c r="F150" s="94">
        <v>0.24803</v>
      </c>
      <c r="G150" s="94">
        <v>2.7E-4</v>
      </c>
      <c r="H150" s="94">
        <v>6.4000000000000005E-4</v>
      </c>
      <c r="Q150" s="1"/>
      <c r="R150" s="156" t="s">
        <v>1838</v>
      </c>
      <c r="S150" s="828">
        <v>0.161</v>
      </c>
      <c r="T150" s="829">
        <v>8.0999999999999996E-3</v>
      </c>
      <c r="U150" s="829">
        <v>3.2000000000000002E-3</v>
      </c>
      <c r="V150" s="154" t="s">
        <v>452</v>
      </c>
      <c r="W150" s="17"/>
      <c r="X150" s="17"/>
      <c r="Y150" s="112"/>
      <c r="Z150" s="155"/>
      <c r="AA150" s="2"/>
      <c r="AB150" s="2"/>
    </row>
    <row r="151" spans="2:28">
      <c r="B151" s="1014"/>
      <c r="C151" s="1024"/>
      <c r="D151" s="77" t="s">
        <v>1806</v>
      </c>
      <c r="E151" s="78">
        <v>0.23649999999999999</v>
      </c>
      <c r="F151" s="78">
        <v>0.23563000000000001</v>
      </c>
      <c r="G151" s="78">
        <v>2.5999999999999998E-4</v>
      </c>
      <c r="H151" s="78">
        <v>6.0999999999999997E-4</v>
      </c>
      <c r="Q151" s="1"/>
      <c r="R151" s="156" t="s">
        <v>1839</v>
      </c>
      <c r="S151" s="828">
        <v>0.11899999999999999</v>
      </c>
      <c r="T151" s="829">
        <v>2.5000000000000001E-3</v>
      </c>
      <c r="U151" s="829">
        <v>1.6999999999999999E-3</v>
      </c>
      <c r="V151" s="154" t="s">
        <v>452</v>
      </c>
      <c r="W151" s="17"/>
      <c r="X151" s="17"/>
      <c r="Y151" s="112"/>
      <c r="Z151" s="155"/>
      <c r="AA151" s="2"/>
      <c r="AB151" s="2"/>
    </row>
    <row r="152" spans="2:28">
      <c r="B152" s="1014"/>
      <c r="C152" s="1019" t="s">
        <v>1840</v>
      </c>
      <c r="D152" s="80" t="s">
        <v>1804</v>
      </c>
      <c r="E152" s="81">
        <v>2997.5</v>
      </c>
      <c r="F152" s="81">
        <v>2979.53</v>
      </c>
      <c r="G152" s="81">
        <v>9.3699999999999992</v>
      </c>
      <c r="H152" s="82">
        <v>8.6</v>
      </c>
      <c r="Q152" s="1"/>
      <c r="R152" s="156" t="s">
        <v>397</v>
      </c>
      <c r="S152" s="827">
        <v>5.6000000000000001E-2</v>
      </c>
      <c r="T152" s="830">
        <v>1.2917147824303154E-3</v>
      </c>
      <c r="U152" s="819">
        <v>8.6692267277202364E-4</v>
      </c>
      <c r="V152" s="154" t="s">
        <v>452</v>
      </c>
      <c r="W152" s="17"/>
      <c r="X152" s="17"/>
      <c r="Y152" s="17"/>
      <c r="Z152" s="2"/>
      <c r="AA152" s="2"/>
      <c r="AB152" s="2"/>
    </row>
    <row r="153" spans="2:28">
      <c r="B153" s="1014"/>
      <c r="C153" s="1020"/>
      <c r="D153" s="83" t="s">
        <v>1510</v>
      </c>
      <c r="E153" s="94">
        <v>2.2090399999999999</v>
      </c>
      <c r="F153" s="94">
        <v>2.1958500000000001</v>
      </c>
      <c r="G153" s="94">
        <v>6.8799999999999998E-3</v>
      </c>
      <c r="H153" s="84">
        <v>6.3099999999999996E-3</v>
      </c>
      <c r="Q153" s="71"/>
      <c r="R153" s="18" t="s">
        <v>455</v>
      </c>
      <c r="S153" s="152">
        <v>0.22500000000000001</v>
      </c>
      <c r="T153" s="819">
        <v>3.8999999999999998E-3</v>
      </c>
      <c r="U153" s="819">
        <v>7.1753814281706558E-3</v>
      </c>
      <c r="V153" s="154" t="s">
        <v>452</v>
      </c>
      <c r="W153" s="25"/>
      <c r="X153" s="17"/>
      <c r="Y153" s="17"/>
      <c r="Z153" s="2"/>
      <c r="AA153" s="2"/>
      <c r="AB153" s="2"/>
    </row>
    <row r="154" spans="2:28" ht="102.75">
      <c r="B154" s="1014"/>
      <c r="C154" s="1020"/>
      <c r="D154" s="83" t="s">
        <v>1805</v>
      </c>
      <c r="E154" s="94">
        <v>0.24603</v>
      </c>
      <c r="F154" s="94">
        <v>0.24457999999999999</v>
      </c>
      <c r="G154" s="94">
        <v>7.5000000000000002E-4</v>
      </c>
      <c r="H154" s="84">
        <v>6.8999999999999997E-4</v>
      </c>
      <c r="Q154" s="71"/>
      <c r="R154" s="157" t="s">
        <v>456</v>
      </c>
      <c r="S154" s="827">
        <v>0.13600000000000001</v>
      </c>
      <c r="T154" s="819">
        <v>5.9999999999999995E-4</v>
      </c>
      <c r="U154" s="819">
        <v>4.3E-3</v>
      </c>
      <c r="V154" s="154" t="s">
        <v>452</v>
      </c>
      <c r="W154" s="17"/>
      <c r="X154" s="17"/>
      <c r="Y154" s="17"/>
      <c r="Z154" s="2"/>
      <c r="AA154" s="2"/>
      <c r="AB154" s="2"/>
    </row>
    <row r="155" spans="2:28" ht="15.75" thickBot="1">
      <c r="B155" s="1014"/>
      <c r="C155" s="1021"/>
      <c r="D155" s="85" t="s">
        <v>1806</v>
      </c>
      <c r="E155" s="86">
        <v>0.23372999999999999</v>
      </c>
      <c r="F155" s="86">
        <v>0.23235</v>
      </c>
      <c r="G155" s="86">
        <v>7.2000000000000005E-4</v>
      </c>
      <c r="H155" s="87">
        <v>6.6E-4</v>
      </c>
      <c r="Q155" s="71"/>
      <c r="R155" s="54" t="s">
        <v>457</v>
      </c>
      <c r="S155" s="158">
        <v>0.16600000000000001</v>
      </c>
      <c r="T155" s="159">
        <v>5.9999999999999995E-4</v>
      </c>
      <c r="U155" s="160">
        <v>5.3E-3</v>
      </c>
      <c r="V155" s="161" t="s">
        <v>452</v>
      </c>
      <c r="W155" s="17"/>
      <c r="X155" s="17"/>
      <c r="Y155" s="17"/>
      <c r="Z155" s="2"/>
      <c r="AA155" s="2"/>
      <c r="AB155" s="2"/>
    </row>
    <row r="156" spans="2:28">
      <c r="B156" s="1014"/>
      <c r="C156" s="1022" t="s">
        <v>1841</v>
      </c>
      <c r="D156" s="202" t="s">
        <v>1804</v>
      </c>
      <c r="E156" s="79">
        <v>3152.96</v>
      </c>
      <c r="F156" s="79">
        <v>3135</v>
      </c>
      <c r="G156" s="79">
        <v>9.3699999999999992</v>
      </c>
      <c r="H156" s="79">
        <v>8.6</v>
      </c>
      <c r="Q156" s="71"/>
      <c r="R156" s="893" t="s">
        <v>1842</v>
      </c>
      <c r="S156" s="893"/>
      <c r="T156" s="893"/>
      <c r="U156" s="893"/>
      <c r="V156" s="893"/>
      <c r="W156" s="893"/>
      <c r="X156" s="893"/>
      <c r="Y156" s="893"/>
      <c r="Z156" s="893"/>
      <c r="AA156" s="893"/>
      <c r="AB156" s="2"/>
    </row>
    <row r="157" spans="2:28">
      <c r="B157" s="1014"/>
      <c r="C157" s="1023"/>
      <c r="D157" s="196" t="s">
        <v>1510</v>
      </c>
      <c r="E157" s="94">
        <v>2.3149500000000001</v>
      </c>
      <c r="F157" s="94">
        <v>2.3017599999999998</v>
      </c>
      <c r="G157" s="94">
        <v>6.8799999999999998E-3</v>
      </c>
      <c r="H157" s="94">
        <v>6.3099999999999996E-3</v>
      </c>
      <c r="Q157" s="1"/>
      <c r="R157" s="893" t="s">
        <v>1843</v>
      </c>
      <c r="S157" s="893"/>
      <c r="T157" s="893"/>
      <c r="U157" s="893"/>
      <c r="V157" s="893"/>
      <c r="W157" s="893"/>
      <c r="X157" s="893"/>
      <c r="Y157" s="893"/>
      <c r="Z157" s="893"/>
      <c r="AA157" s="893"/>
      <c r="AB157" s="2"/>
    </row>
    <row r="158" spans="2:28">
      <c r="B158" s="1014"/>
      <c r="C158" s="1023"/>
      <c r="D158" s="196" t="s">
        <v>1805</v>
      </c>
      <c r="E158" s="94">
        <v>0.25367000000000001</v>
      </c>
      <c r="F158" s="94">
        <v>0.25223000000000001</v>
      </c>
      <c r="G158" s="94">
        <v>7.5000000000000002E-4</v>
      </c>
      <c r="H158" s="94">
        <v>6.8999999999999997E-4</v>
      </c>
      <c r="Q158" s="1"/>
      <c r="R158" s="833"/>
      <c r="S158" s="833"/>
      <c r="T158" s="833"/>
      <c r="U158" s="833"/>
      <c r="V158" s="833"/>
      <c r="W158" s="833"/>
      <c r="X158" s="833"/>
      <c r="Y158" s="833"/>
      <c r="Z158" s="833"/>
      <c r="AA158" s="833"/>
      <c r="AB158" s="2"/>
    </row>
    <row r="159" spans="2:28" ht="15.75">
      <c r="B159" s="1014"/>
      <c r="C159" s="1024"/>
      <c r="D159" s="196" t="s">
        <v>1806</v>
      </c>
      <c r="E159" s="94">
        <v>0.24099000000000001</v>
      </c>
      <c r="F159" s="94">
        <v>0.23960999999999999</v>
      </c>
      <c r="G159" s="94">
        <v>7.2000000000000005E-4</v>
      </c>
      <c r="H159" s="94">
        <v>6.6E-4</v>
      </c>
      <c r="Q159" s="218" t="s">
        <v>1844</v>
      </c>
      <c r="R159" s="803" t="s">
        <v>460</v>
      </c>
      <c r="S159" s="831"/>
      <c r="T159" s="831"/>
      <c r="U159" s="220"/>
      <c r="V159" s="220"/>
      <c r="W159" s="220"/>
      <c r="X159" s="220"/>
      <c r="Y159" s="220"/>
      <c r="Z159" s="220"/>
      <c r="AA159" s="221"/>
      <c r="AB159" s="2"/>
    </row>
    <row r="160" spans="2:28" ht="15.75" thickBot="1">
      <c r="B160" s="1014"/>
      <c r="C160" s="1022" t="s">
        <v>1845</v>
      </c>
      <c r="D160" s="196" t="s">
        <v>1804</v>
      </c>
      <c r="E160" s="76">
        <v>3217.82</v>
      </c>
      <c r="F160" s="76">
        <v>3205.85</v>
      </c>
      <c r="G160" s="76">
        <v>4.16</v>
      </c>
      <c r="H160" s="76">
        <v>7.81</v>
      </c>
      <c r="Q160" s="1"/>
      <c r="R160" s="833"/>
      <c r="S160" s="833"/>
      <c r="T160" s="833"/>
      <c r="U160" s="833"/>
      <c r="V160" s="833"/>
      <c r="W160" s="833"/>
      <c r="X160" s="833"/>
      <c r="Y160" s="833"/>
      <c r="Z160" s="833"/>
      <c r="AA160" s="833"/>
      <c r="AB160" s="2"/>
    </row>
    <row r="161" spans="2:51" ht="53.25" thickBot="1">
      <c r="B161" s="1014"/>
      <c r="C161" s="1023"/>
      <c r="D161" s="196" t="s">
        <v>1510</v>
      </c>
      <c r="E161" s="94">
        <v>3.1796600000000002</v>
      </c>
      <c r="F161" s="94">
        <v>3.16784</v>
      </c>
      <c r="G161" s="94">
        <v>4.1099999999999999E-3</v>
      </c>
      <c r="H161" s="94">
        <v>7.7099999999999998E-3</v>
      </c>
      <c r="Q161" s="1"/>
      <c r="R161" s="143" t="s">
        <v>205</v>
      </c>
      <c r="S161" s="110" t="s">
        <v>1831</v>
      </c>
      <c r="T161" s="110" t="s">
        <v>1832</v>
      </c>
      <c r="U161" s="110" t="s">
        <v>1833</v>
      </c>
      <c r="V161" s="111" t="s">
        <v>111</v>
      </c>
      <c r="W161" s="2"/>
      <c r="X161" s="2"/>
      <c r="Y161" s="2"/>
      <c r="Z161" s="2"/>
      <c r="AA161" s="2"/>
      <c r="AB161" s="2"/>
    </row>
    <row r="162" spans="2:51">
      <c r="B162" s="1014"/>
      <c r="C162" s="1023"/>
      <c r="D162" s="196" t="s">
        <v>1805</v>
      </c>
      <c r="E162" s="94">
        <v>0.28492000000000001</v>
      </c>
      <c r="F162" s="94">
        <v>0.28386</v>
      </c>
      <c r="G162" s="94">
        <v>3.6999999999999999E-4</v>
      </c>
      <c r="H162" s="94">
        <v>6.8999999999999997E-4</v>
      </c>
      <c r="Q162" s="1"/>
      <c r="R162" s="162" t="s">
        <v>461</v>
      </c>
      <c r="S162" s="163">
        <v>1.4670000000000001</v>
      </c>
      <c r="T162" s="163">
        <v>1.4E-2</v>
      </c>
      <c r="U162" s="163">
        <v>0.01</v>
      </c>
      <c r="V162" s="164" t="s">
        <v>448</v>
      </c>
      <c r="W162" s="165"/>
      <c r="X162" s="165"/>
      <c r="Y162" s="165"/>
      <c r="Z162" s="2"/>
      <c r="AA162" s="2"/>
      <c r="AB162" s="2"/>
    </row>
    <row r="163" spans="2:51">
      <c r="B163" s="1014"/>
      <c r="C163" s="1024"/>
      <c r="D163" s="196" t="s">
        <v>1806</v>
      </c>
      <c r="E163" s="94">
        <v>0.26782</v>
      </c>
      <c r="F163" s="94">
        <v>0.26683000000000001</v>
      </c>
      <c r="G163" s="94">
        <v>3.5E-4</v>
      </c>
      <c r="H163" s="94">
        <v>6.4999999999999997E-4</v>
      </c>
      <c r="Q163" s="1"/>
      <c r="R163" s="145" t="s">
        <v>1834</v>
      </c>
      <c r="S163" s="827">
        <v>0.34300000000000003</v>
      </c>
      <c r="T163" s="827">
        <v>1.9E-2</v>
      </c>
      <c r="U163" s="827">
        <v>1.0999999999999999E-2</v>
      </c>
      <c r="V163" s="166" t="s">
        <v>448</v>
      </c>
      <c r="W163" s="165"/>
      <c r="X163" s="165"/>
      <c r="Y163" s="165"/>
      <c r="Z163" s="2"/>
      <c r="AA163" s="2"/>
      <c r="AB163" s="2"/>
    </row>
    <row r="164" spans="2:51" ht="15.75" thickBot="1">
      <c r="B164" s="1014"/>
      <c r="C164" s="1022" t="s">
        <v>1846</v>
      </c>
      <c r="D164" s="196" t="s">
        <v>1804</v>
      </c>
      <c r="E164" s="76">
        <v>3229.86</v>
      </c>
      <c r="F164" s="76">
        <v>3190</v>
      </c>
      <c r="G164" s="76">
        <v>3.43</v>
      </c>
      <c r="H164" s="76">
        <v>36.43</v>
      </c>
      <c r="Q164" s="1"/>
      <c r="R164" s="148" t="s">
        <v>1835</v>
      </c>
      <c r="S164" s="158">
        <v>0.47199999999999998</v>
      </c>
      <c r="T164" s="158">
        <v>1.9E-2</v>
      </c>
      <c r="U164" s="158">
        <v>1.7999999999999999E-2</v>
      </c>
      <c r="V164" s="167" t="s">
        <v>448</v>
      </c>
      <c r="W164" s="165"/>
      <c r="X164" s="165"/>
      <c r="Y164" s="165"/>
      <c r="Z164" s="2"/>
      <c r="AA164" s="2"/>
      <c r="AB164" s="2"/>
    </row>
    <row r="165" spans="2:51">
      <c r="B165" s="1014"/>
      <c r="C165" s="1023"/>
      <c r="D165" s="196" t="s">
        <v>1510</v>
      </c>
      <c r="E165" s="94">
        <v>2.7582100000000001</v>
      </c>
      <c r="F165" s="94">
        <v>2.72417</v>
      </c>
      <c r="G165" s="94">
        <v>2.9299999999999999E-3</v>
      </c>
      <c r="H165" s="94">
        <v>3.1109999999999999E-2</v>
      </c>
      <c r="Q165" s="1"/>
      <c r="R165" s="162" t="s">
        <v>1847</v>
      </c>
      <c r="S165" s="163">
        <v>0.20233797801439316</v>
      </c>
      <c r="T165" s="168">
        <v>2.0038423175478401E-3</v>
      </c>
      <c r="U165" s="168">
        <v>1.5129681927794096E-3</v>
      </c>
      <c r="V165" s="164" t="s">
        <v>463</v>
      </c>
      <c r="W165" s="165"/>
      <c r="X165" s="165"/>
      <c r="Y165" s="165"/>
      <c r="Z165" s="2"/>
      <c r="AA165" s="2"/>
      <c r="AB165" s="2"/>
    </row>
    <row r="166" spans="2:51">
      <c r="B166" s="1014"/>
      <c r="C166" s="1023"/>
      <c r="D166" s="196" t="s">
        <v>1805</v>
      </c>
      <c r="E166" s="94">
        <v>0.27315</v>
      </c>
      <c r="F166" s="94">
        <v>0.26978000000000002</v>
      </c>
      <c r="G166" s="94">
        <v>2.9E-4</v>
      </c>
      <c r="H166" s="94">
        <v>3.0799999999999998E-3</v>
      </c>
      <c r="Q166" s="1"/>
      <c r="R166" s="15" t="s">
        <v>402</v>
      </c>
      <c r="S166" s="827">
        <v>2.3E-2</v>
      </c>
      <c r="T166" s="819">
        <v>1.8E-3</v>
      </c>
      <c r="U166" s="819">
        <v>5.9999999999999995E-4</v>
      </c>
      <c r="V166" s="169" t="s">
        <v>463</v>
      </c>
      <c r="W166" s="165"/>
      <c r="X166" s="165"/>
      <c r="Y166" s="165"/>
      <c r="Z166" s="2"/>
      <c r="AA166" s="2"/>
      <c r="AB166" s="2"/>
    </row>
    <row r="167" spans="2:51">
      <c r="B167" s="1014"/>
      <c r="C167" s="1024"/>
      <c r="D167" s="196" t="s">
        <v>1806</v>
      </c>
      <c r="E167" s="94">
        <v>0.25675999999999999</v>
      </c>
      <c r="F167" s="94">
        <v>0.25358999999999998</v>
      </c>
      <c r="G167" s="94">
        <v>2.7E-4</v>
      </c>
      <c r="H167" s="94">
        <v>2.8999999999999998E-3</v>
      </c>
      <c r="Q167" s="1"/>
      <c r="R167" s="15" t="s">
        <v>464</v>
      </c>
      <c r="S167" s="811">
        <v>5.8999999999999997E-2</v>
      </c>
      <c r="T167" s="814">
        <v>5.0000000000000001E-4</v>
      </c>
      <c r="U167" s="814">
        <v>4.0000000000000001E-3</v>
      </c>
      <c r="V167" s="169" t="s">
        <v>463</v>
      </c>
      <c r="W167" s="165"/>
      <c r="X167" s="165"/>
      <c r="Y167" s="165"/>
      <c r="Z167" s="2"/>
      <c r="AA167" s="2"/>
      <c r="AB167" s="2"/>
    </row>
    <row r="168" spans="2:51" ht="15.75" thickBot="1">
      <c r="B168" s="1014"/>
      <c r="C168" s="1022" t="s">
        <v>1848</v>
      </c>
      <c r="D168" s="196" t="s">
        <v>1804</v>
      </c>
      <c r="E168" s="76">
        <v>2944.82</v>
      </c>
      <c r="F168" s="76">
        <v>2933.33</v>
      </c>
      <c r="G168" s="76">
        <v>3.39</v>
      </c>
      <c r="H168" s="76">
        <v>8.09</v>
      </c>
      <c r="Q168" s="1"/>
      <c r="R168" s="148" t="s">
        <v>465</v>
      </c>
      <c r="S168" s="158">
        <v>1.3080000000000001</v>
      </c>
      <c r="T168" s="170">
        <v>0</v>
      </c>
      <c r="U168" s="125">
        <v>4.02E-2</v>
      </c>
      <c r="V168" s="167" t="s">
        <v>463</v>
      </c>
      <c r="W168" s="165"/>
      <c r="X168" s="165"/>
      <c r="Y168" s="165"/>
      <c r="Z168" s="2"/>
      <c r="AA168" s="2"/>
      <c r="AB168" s="2"/>
    </row>
    <row r="169" spans="2:51">
      <c r="B169" s="1014"/>
      <c r="C169" s="1023"/>
      <c r="D169" s="196" t="s">
        <v>1510</v>
      </c>
      <c r="E169" s="75"/>
      <c r="F169" s="75"/>
      <c r="G169" s="75"/>
      <c r="H169" s="75"/>
    </row>
    <row r="170" spans="2:51">
      <c r="B170" s="1014"/>
      <c r="C170" s="1023"/>
      <c r="D170" s="196" t="s">
        <v>1805</v>
      </c>
      <c r="E170" s="94">
        <v>0.25966</v>
      </c>
      <c r="F170" s="94">
        <v>0.25863999999999998</v>
      </c>
      <c r="G170" s="94">
        <v>2.9999999999999997E-4</v>
      </c>
      <c r="H170" s="94">
        <v>7.1000000000000002E-4</v>
      </c>
    </row>
    <row r="171" spans="2:51">
      <c r="B171" s="1014"/>
      <c r="C171" s="1024"/>
      <c r="D171" s="196" t="s">
        <v>1806</v>
      </c>
      <c r="E171" s="94">
        <v>0.24667</v>
      </c>
      <c r="F171" s="94">
        <v>0.24571000000000001</v>
      </c>
      <c r="G171" s="94">
        <v>2.7999999999999998E-4</v>
      </c>
      <c r="H171" s="94">
        <v>6.8000000000000005E-4</v>
      </c>
    </row>
    <row r="172" spans="2:51">
      <c r="B172" s="1014"/>
      <c r="C172" s="1022" t="s">
        <v>1849</v>
      </c>
      <c r="D172" s="196" t="s">
        <v>1804</v>
      </c>
      <c r="E172" s="76">
        <v>3225.02</v>
      </c>
      <c r="F172" s="76">
        <v>3171.09</v>
      </c>
      <c r="G172" s="76">
        <v>3.19</v>
      </c>
      <c r="H172" s="76">
        <v>50.74</v>
      </c>
      <c r="Q172" s="173"/>
      <c r="R172" s="173"/>
      <c r="S172" s="173"/>
      <c r="T172" s="173"/>
      <c r="U172" s="173"/>
      <c r="V172" s="173"/>
      <c r="W172" s="173"/>
      <c r="X172" s="173"/>
      <c r="Y172" s="173"/>
      <c r="Z172" s="173"/>
      <c r="AA172" s="173"/>
      <c r="AB172" s="173"/>
      <c r="AC172" s="173"/>
      <c r="AD172" s="173"/>
      <c r="AE172" s="173"/>
      <c r="AF172" s="173"/>
      <c r="AG172" s="173"/>
      <c r="AH172" s="173"/>
      <c r="AI172" s="173"/>
      <c r="AJ172" s="173"/>
      <c r="AK172" s="173"/>
      <c r="AL172" s="173"/>
      <c r="AM172" s="173"/>
      <c r="AN172" s="171"/>
      <c r="AO172" s="171"/>
      <c r="AP172" s="171"/>
      <c r="AQ172" s="171"/>
      <c r="AR172" s="171"/>
      <c r="AS172" s="171"/>
      <c r="AT172" s="171"/>
      <c r="AU172" s="171"/>
      <c r="AV172" s="171"/>
      <c r="AW172" s="171"/>
      <c r="AX172" s="171"/>
      <c r="AY172" s="171"/>
    </row>
    <row r="173" spans="2:51">
      <c r="B173" s="1014"/>
      <c r="C173" s="1023"/>
      <c r="D173" s="196" t="s">
        <v>1510</v>
      </c>
      <c r="E173" s="75"/>
      <c r="F173" s="75"/>
      <c r="G173" s="75"/>
      <c r="H173" s="75"/>
      <c r="Q173" s="194"/>
      <c r="R173" s="194"/>
      <c r="S173" s="194"/>
      <c r="T173" s="1031" t="s">
        <v>374</v>
      </c>
      <c r="U173" s="1031"/>
      <c r="V173" s="1031"/>
      <c r="W173" s="1031"/>
      <c r="X173" s="1031" t="s">
        <v>375</v>
      </c>
      <c r="Y173" s="1031"/>
      <c r="Z173" s="1031"/>
      <c r="AA173" s="1031"/>
      <c r="AB173" s="1031" t="s">
        <v>379</v>
      </c>
      <c r="AC173" s="1031"/>
      <c r="AD173" s="1031"/>
      <c r="AE173" s="1031"/>
      <c r="AF173" s="1031" t="s">
        <v>380</v>
      </c>
      <c r="AG173" s="1031"/>
      <c r="AH173" s="1031"/>
      <c r="AI173" s="1031"/>
      <c r="AJ173" s="1031" t="s">
        <v>381</v>
      </c>
      <c r="AK173" s="1031"/>
      <c r="AL173" s="1031"/>
      <c r="AM173" s="1031"/>
      <c r="AN173" s="194"/>
      <c r="AO173" s="194"/>
      <c r="AP173" s="194"/>
      <c r="AQ173" s="194"/>
      <c r="AR173" s="194"/>
      <c r="AS173" s="194"/>
      <c r="AT173" s="194"/>
      <c r="AU173" s="194"/>
      <c r="AV173" s="194"/>
      <c r="AW173" s="194"/>
      <c r="AX173" s="194"/>
      <c r="AY173" s="194"/>
    </row>
    <row r="174" spans="2:51" ht="18">
      <c r="B174" s="1014"/>
      <c r="C174" s="1023"/>
      <c r="D174" s="196" t="s">
        <v>1805</v>
      </c>
      <c r="E174" s="94">
        <v>0.28555999999999998</v>
      </c>
      <c r="F174" s="94">
        <v>0.28077999999999997</v>
      </c>
      <c r="G174" s="94">
        <v>2.7999999999999998E-4</v>
      </c>
      <c r="H174" s="94">
        <v>4.4900000000000001E-3</v>
      </c>
      <c r="Q174" s="195" t="s">
        <v>354</v>
      </c>
      <c r="R174" s="195" t="s">
        <v>369</v>
      </c>
      <c r="S174" s="195" t="s">
        <v>194</v>
      </c>
      <c r="T174" s="196" t="s">
        <v>413</v>
      </c>
      <c r="U174" s="196" t="s">
        <v>414</v>
      </c>
      <c r="V174" s="196" t="s">
        <v>415</v>
      </c>
      <c r="W174" s="196" t="s">
        <v>416</v>
      </c>
      <c r="X174" s="196" t="s">
        <v>413</v>
      </c>
      <c r="Y174" s="196" t="s">
        <v>414</v>
      </c>
      <c r="Z174" s="196" t="s">
        <v>415</v>
      </c>
      <c r="AA174" s="196" t="s">
        <v>416</v>
      </c>
      <c r="AB174" s="196" t="s">
        <v>413</v>
      </c>
      <c r="AC174" s="196" t="s">
        <v>414</v>
      </c>
      <c r="AD174" s="196" t="s">
        <v>415</v>
      </c>
      <c r="AE174" s="196" t="s">
        <v>416</v>
      </c>
      <c r="AF174" s="196" t="s">
        <v>413</v>
      </c>
      <c r="AG174" s="196" t="s">
        <v>414</v>
      </c>
      <c r="AH174" s="196" t="s">
        <v>415</v>
      </c>
      <c r="AI174" s="196" t="s">
        <v>416</v>
      </c>
      <c r="AJ174" s="196" t="s">
        <v>413</v>
      </c>
      <c r="AK174" s="196" t="s">
        <v>414</v>
      </c>
      <c r="AL174" s="196" t="s">
        <v>415</v>
      </c>
      <c r="AM174" s="196" t="s">
        <v>416</v>
      </c>
      <c r="AN174" s="194"/>
      <c r="AO174" s="194"/>
      <c r="AP174" s="194"/>
      <c r="AQ174" s="194"/>
      <c r="AR174" s="194"/>
      <c r="AS174" s="194"/>
      <c r="AT174" s="194"/>
      <c r="AU174" s="194"/>
      <c r="AV174" s="194"/>
      <c r="AW174" s="194"/>
      <c r="AX174" s="194"/>
      <c r="AY174" s="194"/>
    </row>
    <row r="175" spans="2:51">
      <c r="B175" s="1014"/>
      <c r="C175" s="1024"/>
      <c r="D175" s="196" t="s">
        <v>1806</v>
      </c>
      <c r="E175" s="94">
        <v>0.26841999999999999</v>
      </c>
      <c r="F175" s="94">
        <v>0.26393</v>
      </c>
      <c r="G175" s="94">
        <v>2.7E-4</v>
      </c>
      <c r="H175" s="94">
        <v>4.2199999999999998E-3</v>
      </c>
      <c r="Q175" s="1029" t="s">
        <v>1850</v>
      </c>
      <c r="R175" s="1029" t="s">
        <v>1851</v>
      </c>
      <c r="S175" s="196" t="s">
        <v>384</v>
      </c>
      <c r="T175" s="197">
        <v>0.11008999999999999</v>
      </c>
      <c r="U175" s="197">
        <v>0.10825</v>
      </c>
      <c r="V175" s="197">
        <v>4.3200000000000001E-6</v>
      </c>
      <c r="W175" s="197">
        <v>1.8400000000000001E-3</v>
      </c>
      <c r="X175" s="197">
        <v>0.13975000000000001</v>
      </c>
      <c r="Y175" s="197">
        <v>0.13905000000000001</v>
      </c>
      <c r="Z175" s="197">
        <v>3.2000000000000003E-4</v>
      </c>
      <c r="AA175" s="197">
        <v>3.8000000000000002E-4</v>
      </c>
      <c r="AB175" s="197">
        <v>0.13958000000000001</v>
      </c>
      <c r="AC175" s="197">
        <v>0.13886999999999999</v>
      </c>
      <c r="AD175" s="197">
        <v>3.2000000000000003E-4</v>
      </c>
      <c r="AE175" s="197">
        <v>3.8999999999999999E-4</v>
      </c>
      <c r="AF175" s="197" t="s">
        <v>1852</v>
      </c>
      <c r="AG175" s="197" t="s">
        <v>1852</v>
      </c>
      <c r="AH175" s="197" t="s">
        <v>1852</v>
      </c>
      <c r="AI175" s="197" t="s">
        <v>1852</v>
      </c>
      <c r="AJ175" s="197">
        <v>0</v>
      </c>
      <c r="AK175" s="197">
        <v>0</v>
      </c>
      <c r="AL175" s="197">
        <v>0</v>
      </c>
      <c r="AM175" s="197">
        <v>0</v>
      </c>
      <c r="AN175" s="178"/>
      <c r="AO175" s="178"/>
      <c r="AP175" s="178"/>
      <c r="AQ175" s="178"/>
      <c r="AR175" s="178"/>
      <c r="AS175" s="178"/>
      <c r="AT175" s="178"/>
      <c r="AU175" s="178"/>
      <c r="AV175" s="178"/>
      <c r="AW175" s="178"/>
      <c r="AX175" s="178"/>
      <c r="AY175" s="178"/>
    </row>
    <row r="176" spans="2:51">
      <c r="B176" s="1014"/>
      <c r="C176" s="1022" t="s">
        <v>1853</v>
      </c>
      <c r="D176" s="196" t="s">
        <v>1804</v>
      </c>
      <c r="E176" s="76">
        <v>3250.08</v>
      </c>
      <c r="F176" s="76">
        <v>3205.99</v>
      </c>
      <c r="G176" s="76">
        <v>0.82</v>
      </c>
      <c r="H176" s="76">
        <v>43.27</v>
      </c>
      <c r="Q176" s="1029"/>
      <c r="R176" s="1029"/>
      <c r="S176" s="196" t="s">
        <v>385</v>
      </c>
      <c r="T176" s="197">
        <v>0.17719000000000001</v>
      </c>
      <c r="U176" s="197">
        <v>0.17421</v>
      </c>
      <c r="V176" s="197">
        <v>1.0000000000000001E-5</v>
      </c>
      <c r="W176" s="197">
        <v>2.97E-3</v>
      </c>
      <c r="X176" s="197">
        <v>0.22490000000000002</v>
      </c>
      <c r="Y176" s="197">
        <v>0.22378000000000001</v>
      </c>
      <c r="Z176" s="197">
        <v>5.1000000000000004E-4</v>
      </c>
      <c r="AA176" s="197">
        <v>6.0999999999999997E-4</v>
      </c>
      <c r="AB176" s="197">
        <v>0.22463</v>
      </c>
      <c r="AC176" s="197">
        <v>0.22348999999999999</v>
      </c>
      <c r="AD176" s="197">
        <v>5.1000000000000004E-4</v>
      </c>
      <c r="AE176" s="197">
        <v>6.3000000000000003E-4</v>
      </c>
      <c r="AF176" s="197" t="s">
        <v>1852</v>
      </c>
      <c r="AG176" s="197" t="s">
        <v>1852</v>
      </c>
      <c r="AH176" s="197" t="s">
        <v>1852</v>
      </c>
      <c r="AI176" s="197" t="s">
        <v>1852</v>
      </c>
      <c r="AJ176" s="197">
        <v>0</v>
      </c>
      <c r="AK176" s="197">
        <v>0</v>
      </c>
      <c r="AL176" s="197">
        <v>0</v>
      </c>
      <c r="AM176" s="197">
        <v>0</v>
      </c>
      <c r="AN176" s="178"/>
      <c r="AO176" s="178"/>
      <c r="AP176" s="178"/>
      <c r="AQ176" s="178"/>
      <c r="AR176" s="178"/>
      <c r="AS176" s="178"/>
      <c r="AT176" s="178"/>
      <c r="AU176" s="178"/>
      <c r="AV176" s="178"/>
      <c r="AW176" s="178"/>
      <c r="AX176" s="178"/>
      <c r="AY176" s="178"/>
    </row>
    <row r="177" spans="2:51">
      <c r="B177" s="1014"/>
      <c r="C177" s="1023"/>
      <c r="D177" s="196" t="s">
        <v>1510</v>
      </c>
      <c r="E177" s="94">
        <v>2.7754699999999999</v>
      </c>
      <c r="F177" s="94">
        <v>2.7378200000000001</v>
      </c>
      <c r="G177" s="94">
        <v>6.9999999999999999E-4</v>
      </c>
      <c r="H177" s="94">
        <v>3.6949999999999997E-2</v>
      </c>
      <c r="Q177" s="1029"/>
      <c r="R177" s="1029" t="s">
        <v>1854</v>
      </c>
      <c r="S177" s="196" t="s">
        <v>384</v>
      </c>
      <c r="T177" s="197">
        <v>0.13449</v>
      </c>
      <c r="U177" s="197">
        <v>0.13264999999999999</v>
      </c>
      <c r="V177" s="197">
        <v>4.3200000000000001E-6</v>
      </c>
      <c r="W177" s="197">
        <v>1.8400000000000001E-3</v>
      </c>
      <c r="X177" s="197">
        <v>0.15537999999999999</v>
      </c>
      <c r="Y177" s="197">
        <v>0.15468000000000001</v>
      </c>
      <c r="Z177" s="197">
        <v>3.2000000000000003E-4</v>
      </c>
      <c r="AA177" s="197">
        <v>3.8000000000000002E-4</v>
      </c>
      <c r="AB177" s="197">
        <v>0.15240999999999999</v>
      </c>
      <c r="AC177" s="197">
        <v>0.15154999999999999</v>
      </c>
      <c r="AD177" s="197">
        <v>2.7E-4</v>
      </c>
      <c r="AE177" s="197">
        <v>5.9000000000000003E-4</v>
      </c>
      <c r="AF177" s="197">
        <v>2.9350000000000001E-2</v>
      </c>
      <c r="AG177" s="197">
        <v>2.9180000000000001E-2</v>
      </c>
      <c r="AH177" s="197">
        <v>9.0000000000000006E-5</v>
      </c>
      <c r="AI177" s="197">
        <v>8.0000000000000007E-5</v>
      </c>
      <c r="AJ177" s="197">
        <v>0</v>
      </c>
      <c r="AK177" s="197">
        <v>0</v>
      </c>
      <c r="AL177" s="197">
        <v>0</v>
      </c>
      <c r="AM177" s="197">
        <v>0</v>
      </c>
      <c r="AN177" s="178"/>
      <c r="AO177" s="178"/>
      <c r="AP177" s="178"/>
      <c r="AQ177" s="178"/>
      <c r="AR177" s="178"/>
      <c r="AS177" s="178"/>
      <c r="AT177" s="178"/>
      <c r="AU177" s="178"/>
      <c r="AV177" s="178"/>
      <c r="AW177" s="178"/>
      <c r="AX177" s="178"/>
      <c r="AY177" s="178"/>
    </row>
    <row r="178" spans="2:51">
      <c r="B178" s="1014"/>
      <c r="C178" s="1023"/>
      <c r="D178" s="196" t="s">
        <v>1805</v>
      </c>
      <c r="E178" s="94">
        <v>0.27485999999999999</v>
      </c>
      <c r="F178" s="94">
        <v>0.27112999999999998</v>
      </c>
      <c r="G178" s="94">
        <v>6.9999999999999994E-5</v>
      </c>
      <c r="H178" s="94">
        <v>3.6600000000000001E-3</v>
      </c>
      <c r="Q178" s="1029"/>
      <c r="R178" s="1029"/>
      <c r="S178" s="196" t="s">
        <v>385</v>
      </c>
      <c r="T178" s="197">
        <v>0.21647000000000002</v>
      </c>
      <c r="U178" s="197">
        <v>0.21349000000000001</v>
      </c>
      <c r="V178" s="197">
        <v>1.0000000000000001E-5</v>
      </c>
      <c r="W178" s="197">
        <v>2.97E-3</v>
      </c>
      <c r="X178" s="197">
        <v>0.25006</v>
      </c>
      <c r="Y178" s="197">
        <v>0.24893999999999999</v>
      </c>
      <c r="Z178" s="197">
        <v>5.1000000000000004E-4</v>
      </c>
      <c r="AA178" s="197">
        <v>6.0999999999999997E-4</v>
      </c>
      <c r="AB178" s="197">
        <v>0.24528</v>
      </c>
      <c r="AC178" s="197">
        <v>0.24389</v>
      </c>
      <c r="AD178" s="197">
        <v>4.4000000000000002E-4</v>
      </c>
      <c r="AE178" s="197">
        <v>9.5E-4</v>
      </c>
      <c r="AF178" s="197">
        <v>4.7230000000000001E-2</v>
      </c>
      <c r="AG178" s="197">
        <v>4.6960000000000002E-2</v>
      </c>
      <c r="AH178" s="197">
        <v>1.3999999999999999E-4</v>
      </c>
      <c r="AI178" s="197">
        <v>1.2999999999999999E-4</v>
      </c>
      <c r="AJ178" s="197">
        <v>0</v>
      </c>
      <c r="AK178" s="197">
        <v>0</v>
      </c>
      <c r="AL178" s="197">
        <v>0</v>
      </c>
      <c r="AM178" s="197">
        <v>0</v>
      </c>
      <c r="AN178" s="178"/>
      <c r="AO178" s="178"/>
      <c r="AP178" s="178"/>
      <c r="AQ178" s="178"/>
      <c r="AR178" s="178"/>
      <c r="AS178" s="178"/>
      <c r="AT178" s="178"/>
      <c r="AU178" s="178"/>
      <c r="AV178" s="178"/>
      <c r="AW178" s="178"/>
      <c r="AX178" s="178"/>
      <c r="AY178" s="178"/>
    </row>
    <row r="179" spans="2:51">
      <c r="B179" s="1014"/>
      <c r="C179" s="1024"/>
      <c r="D179" s="196" t="s">
        <v>1806</v>
      </c>
      <c r="E179" s="94">
        <v>0.25835999999999998</v>
      </c>
      <c r="F179" s="94">
        <v>0.25485999999999998</v>
      </c>
      <c r="G179" s="94">
        <v>6.9999999999999994E-5</v>
      </c>
      <c r="H179" s="94">
        <v>3.4399999999999999E-3</v>
      </c>
      <c r="Q179" s="1029"/>
      <c r="R179" s="1029" t="s">
        <v>1855</v>
      </c>
      <c r="S179" s="196" t="s">
        <v>384</v>
      </c>
      <c r="T179" s="197">
        <v>0.14691000000000001</v>
      </c>
      <c r="U179" s="197">
        <v>0.14507</v>
      </c>
      <c r="V179" s="197">
        <v>4.3200000000000001E-6</v>
      </c>
      <c r="W179" s="197">
        <v>1.8400000000000001E-3</v>
      </c>
      <c r="X179" s="197">
        <v>0.18007999999999999</v>
      </c>
      <c r="Y179" s="197">
        <v>0.17938000000000001</v>
      </c>
      <c r="Z179" s="197">
        <v>3.2000000000000003E-4</v>
      </c>
      <c r="AA179" s="197">
        <v>3.8000000000000002E-4</v>
      </c>
      <c r="AB179" s="197">
        <v>0.16361999999999999</v>
      </c>
      <c r="AC179" s="197">
        <v>0.16234999999999999</v>
      </c>
      <c r="AD179" s="197">
        <v>1.6000000000000001E-4</v>
      </c>
      <c r="AE179" s="197">
        <v>1.1100000000000001E-3</v>
      </c>
      <c r="AF179" s="197">
        <v>6.4000000000000001E-2</v>
      </c>
      <c r="AG179" s="197">
        <v>6.3619999999999996E-2</v>
      </c>
      <c r="AH179" s="197">
        <v>2.0000000000000001E-4</v>
      </c>
      <c r="AI179" s="197">
        <v>1.8000000000000001E-4</v>
      </c>
      <c r="AJ179" s="197">
        <v>0</v>
      </c>
      <c r="AK179" s="197">
        <v>0</v>
      </c>
      <c r="AL179" s="197">
        <v>0</v>
      </c>
      <c r="AM179" s="197">
        <v>0</v>
      </c>
      <c r="AN179" s="178"/>
      <c r="AO179" s="178"/>
      <c r="AP179" s="178"/>
      <c r="AQ179" s="178"/>
      <c r="AR179" s="178"/>
      <c r="AS179" s="178"/>
      <c r="AT179" s="178"/>
      <c r="AU179" s="178"/>
      <c r="AV179" s="178"/>
      <c r="AW179" s="178"/>
      <c r="AX179" s="178"/>
      <c r="AY179" s="178"/>
    </row>
    <row r="180" spans="2:51">
      <c r="B180" s="1014"/>
      <c r="C180" s="1022" t="s">
        <v>1856</v>
      </c>
      <c r="D180" s="196" t="s">
        <v>1804</v>
      </c>
      <c r="E180" s="76">
        <v>3159.55</v>
      </c>
      <c r="F180" s="76">
        <v>3113.99</v>
      </c>
      <c r="G180" s="76">
        <v>1.28</v>
      </c>
      <c r="H180" s="76">
        <v>44.29</v>
      </c>
      <c r="Q180" s="1029"/>
      <c r="R180" s="1029"/>
      <c r="S180" s="196" t="s">
        <v>385</v>
      </c>
      <c r="T180" s="197">
        <v>0.23644000000000001</v>
      </c>
      <c r="U180" s="197">
        <v>0.23346</v>
      </c>
      <c r="V180" s="197">
        <v>1.0000000000000001E-5</v>
      </c>
      <c r="W180" s="197">
        <v>2.97E-3</v>
      </c>
      <c r="X180" s="197">
        <v>0.2898</v>
      </c>
      <c r="Y180" s="197">
        <v>0.28867999999999999</v>
      </c>
      <c r="Z180" s="197">
        <v>5.1000000000000004E-4</v>
      </c>
      <c r="AA180" s="197">
        <v>6.0999999999999997E-4</v>
      </c>
      <c r="AB180" s="197">
        <v>0.26332</v>
      </c>
      <c r="AC180" s="197">
        <v>0.26128000000000001</v>
      </c>
      <c r="AD180" s="197">
        <v>2.5999999999999998E-4</v>
      </c>
      <c r="AE180" s="197">
        <v>1.7799999999999999E-3</v>
      </c>
      <c r="AF180" s="197">
        <v>0.10299</v>
      </c>
      <c r="AG180" s="197">
        <v>0.10238</v>
      </c>
      <c r="AH180" s="197">
        <v>3.2000000000000003E-4</v>
      </c>
      <c r="AI180" s="197">
        <v>2.9E-4</v>
      </c>
      <c r="AJ180" s="197">
        <v>0</v>
      </c>
      <c r="AK180" s="197">
        <v>0</v>
      </c>
      <c r="AL180" s="197">
        <v>0</v>
      </c>
      <c r="AM180" s="197">
        <v>0</v>
      </c>
      <c r="AN180" s="178"/>
      <c r="AO180" s="178"/>
      <c r="AP180" s="178"/>
      <c r="AQ180" s="178"/>
      <c r="AR180" s="178"/>
      <c r="AS180" s="178"/>
      <c r="AT180" s="178"/>
      <c r="AU180" s="178"/>
      <c r="AV180" s="178"/>
      <c r="AW180" s="178"/>
      <c r="AX180" s="178"/>
      <c r="AY180" s="178"/>
    </row>
    <row r="181" spans="2:51">
      <c r="B181" s="1014"/>
      <c r="C181" s="1023"/>
      <c r="D181" s="196" t="s">
        <v>1510</v>
      </c>
      <c r="E181" s="94">
        <v>3.12209</v>
      </c>
      <c r="F181" s="94">
        <v>3.07707</v>
      </c>
      <c r="G181" s="94">
        <v>1.2600000000000001E-3</v>
      </c>
      <c r="H181" s="94">
        <v>4.376E-2</v>
      </c>
      <c r="Q181" s="1029"/>
      <c r="R181" s="1029" t="s">
        <v>1857</v>
      </c>
      <c r="S181" s="196" t="s">
        <v>384</v>
      </c>
      <c r="T181" s="197">
        <v>0.16533</v>
      </c>
      <c r="U181" s="197">
        <v>0.16349</v>
      </c>
      <c r="V181" s="197">
        <v>4.3200000000000001E-6</v>
      </c>
      <c r="W181" s="197">
        <v>1.8400000000000001E-3</v>
      </c>
      <c r="X181" s="197">
        <v>0.20791999999999999</v>
      </c>
      <c r="Y181" s="197">
        <v>0.20721999999999999</v>
      </c>
      <c r="Z181" s="197">
        <v>3.2000000000000003E-4</v>
      </c>
      <c r="AA181" s="197">
        <v>3.8000000000000002E-4</v>
      </c>
      <c r="AB181" s="197">
        <v>0.17537</v>
      </c>
      <c r="AC181" s="197">
        <v>0.17379</v>
      </c>
      <c r="AD181" s="197">
        <v>8.0000000000000007E-5</v>
      </c>
      <c r="AE181" s="197">
        <v>1.5E-3</v>
      </c>
      <c r="AF181" s="197">
        <v>7.4290000000000009E-2</v>
      </c>
      <c r="AG181" s="197">
        <v>7.3830000000000007E-2</v>
      </c>
      <c r="AH181" s="197">
        <v>2.2000000000000001E-4</v>
      </c>
      <c r="AI181" s="197">
        <v>2.4000000000000001E-4</v>
      </c>
      <c r="AJ181" s="197">
        <v>0</v>
      </c>
      <c r="AK181" s="197">
        <v>0</v>
      </c>
      <c r="AL181" s="197">
        <v>0</v>
      </c>
      <c r="AM181" s="197">
        <v>0</v>
      </c>
      <c r="AN181" s="178"/>
      <c r="AO181" s="178"/>
      <c r="AP181" s="178"/>
      <c r="AQ181" s="178"/>
      <c r="AR181" s="178"/>
      <c r="AS181" s="178"/>
      <c r="AT181" s="178"/>
      <c r="AU181" s="178"/>
      <c r="AV181" s="178"/>
      <c r="AW181" s="178"/>
      <c r="AX181" s="178"/>
      <c r="AY181" s="178"/>
    </row>
    <row r="182" spans="2:51">
      <c r="B182" s="1014"/>
      <c r="C182" s="1023"/>
      <c r="D182" s="196" t="s">
        <v>1805</v>
      </c>
      <c r="E182" s="94">
        <v>0.27976000000000001</v>
      </c>
      <c r="F182" s="94">
        <v>0.27572999999999998</v>
      </c>
      <c r="G182" s="94">
        <v>1.1E-4</v>
      </c>
      <c r="H182" s="94">
        <v>3.9199999999999999E-3</v>
      </c>
      <c r="Q182" s="1029"/>
      <c r="R182" s="1029"/>
      <c r="S182" s="196" t="s">
        <v>385</v>
      </c>
      <c r="T182" s="197">
        <v>0.2661</v>
      </c>
      <c r="U182" s="197">
        <v>0.26312000000000002</v>
      </c>
      <c r="V182" s="197">
        <v>1.0000000000000001E-5</v>
      </c>
      <c r="W182" s="197">
        <v>2.97E-3</v>
      </c>
      <c r="X182" s="197">
        <v>0.33461000000000002</v>
      </c>
      <c r="Y182" s="197">
        <v>0.33349000000000001</v>
      </c>
      <c r="Z182" s="197">
        <v>5.1000000000000004E-4</v>
      </c>
      <c r="AA182" s="197">
        <v>6.0999999999999997E-4</v>
      </c>
      <c r="AB182" s="197">
        <v>0.28223000000000004</v>
      </c>
      <c r="AC182" s="197">
        <v>0.27968999999999999</v>
      </c>
      <c r="AD182" s="197">
        <v>1.2999999999999999E-4</v>
      </c>
      <c r="AE182" s="197">
        <v>2.4099999999999998E-3</v>
      </c>
      <c r="AF182" s="197">
        <v>0.11955</v>
      </c>
      <c r="AG182" s="197">
        <v>0.11882</v>
      </c>
      <c r="AH182" s="197">
        <v>3.5E-4</v>
      </c>
      <c r="AI182" s="197">
        <v>3.8000000000000002E-4</v>
      </c>
      <c r="AJ182" s="197">
        <v>0</v>
      </c>
      <c r="AK182" s="197">
        <v>0</v>
      </c>
      <c r="AL182" s="197">
        <v>0</v>
      </c>
      <c r="AM182" s="197">
        <v>0</v>
      </c>
      <c r="AN182" s="178"/>
      <c r="AO182" s="178"/>
      <c r="AP182" s="178"/>
      <c r="AQ182" s="178"/>
      <c r="AR182" s="178"/>
      <c r="AS182" s="178"/>
      <c r="AT182" s="178"/>
      <c r="AU182" s="178"/>
      <c r="AV182" s="178"/>
      <c r="AW182" s="178"/>
      <c r="AX182" s="178"/>
      <c r="AY182" s="178"/>
    </row>
    <row r="183" spans="2:51">
      <c r="B183" s="1015"/>
      <c r="C183" s="1024"/>
      <c r="D183" s="196" t="s">
        <v>1806</v>
      </c>
      <c r="E183" s="94">
        <v>0.26297999999999999</v>
      </c>
      <c r="F183" s="94">
        <v>0.25918000000000002</v>
      </c>
      <c r="G183" s="94">
        <v>1.1E-4</v>
      </c>
      <c r="H183" s="94">
        <v>3.6900000000000001E-3</v>
      </c>
      <c r="Q183" s="1029"/>
      <c r="R183" s="1029" t="s">
        <v>1858</v>
      </c>
      <c r="S183" s="196" t="s">
        <v>384</v>
      </c>
      <c r="T183" s="197">
        <v>0.17524999999999999</v>
      </c>
      <c r="U183" s="197">
        <v>0.17341000000000001</v>
      </c>
      <c r="V183" s="197">
        <v>4.3200000000000001E-6</v>
      </c>
      <c r="W183" s="197">
        <v>1.8400000000000001E-3</v>
      </c>
      <c r="X183" s="197">
        <v>0.23658999999999999</v>
      </c>
      <c r="Y183" s="197">
        <v>0.23588999999999999</v>
      </c>
      <c r="Z183" s="197">
        <v>3.2000000000000003E-4</v>
      </c>
      <c r="AA183" s="197">
        <v>3.8000000000000002E-4</v>
      </c>
      <c r="AB183" s="197">
        <v>0.18909000000000001</v>
      </c>
      <c r="AC183" s="197">
        <v>0.1875</v>
      </c>
      <c r="AD183" s="197">
        <v>8.0000000000000007E-5</v>
      </c>
      <c r="AE183" s="197">
        <v>1.5100000000000001E-3</v>
      </c>
      <c r="AF183" s="197">
        <v>7.5459999999999999E-2</v>
      </c>
      <c r="AG183" s="197">
        <v>7.5020000000000003E-2</v>
      </c>
      <c r="AH183" s="197">
        <v>2.3000000000000001E-4</v>
      </c>
      <c r="AI183" s="197">
        <v>2.1000000000000001E-4</v>
      </c>
      <c r="AJ183" s="197" t="s">
        <v>1852</v>
      </c>
      <c r="AK183" s="197" t="s">
        <v>1852</v>
      </c>
      <c r="AL183" s="197" t="s">
        <v>1852</v>
      </c>
      <c r="AM183" s="197" t="s">
        <v>1852</v>
      </c>
      <c r="AN183" s="178"/>
      <c r="AO183" s="178"/>
      <c r="AP183" s="178"/>
      <c r="AQ183" s="178"/>
      <c r="AR183" s="178"/>
      <c r="AS183" s="178"/>
      <c r="AT183" s="178"/>
      <c r="AU183" s="178"/>
      <c r="AV183" s="178"/>
      <c r="AW183" s="178"/>
      <c r="AX183" s="178"/>
      <c r="AY183" s="178"/>
    </row>
    <row r="184" spans="2:51">
      <c r="B184" s="194"/>
      <c r="C184" s="194"/>
      <c r="D184" s="194"/>
      <c r="E184" s="95"/>
      <c r="F184" s="95"/>
      <c r="G184" s="95"/>
      <c r="H184" s="95"/>
      <c r="Q184" s="1029"/>
      <c r="R184" s="1029"/>
      <c r="S184" s="196" t="s">
        <v>385</v>
      </c>
      <c r="T184" s="197">
        <v>0.28205999999999998</v>
      </c>
      <c r="U184" s="197">
        <v>0.27907999999999999</v>
      </c>
      <c r="V184" s="197">
        <v>1.0000000000000001E-5</v>
      </c>
      <c r="W184" s="197">
        <v>2.97E-3</v>
      </c>
      <c r="X184" s="197">
        <v>0.38075000000000003</v>
      </c>
      <c r="Y184" s="197">
        <v>0.37963000000000002</v>
      </c>
      <c r="Z184" s="197">
        <v>5.1000000000000004E-4</v>
      </c>
      <c r="AA184" s="197">
        <v>6.0999999999999997E-4</v>
      </c>
      <c r="AB184" s="197">
        <v>0.30431999999999998</v>
      </c>
      <c r="AC184" s="197">
        <v>0.30175999999999997</v>
      </c>
      <c r="AD184" s="197">
        <v>1.2E-4</v>
      </c>
      <c r="AE184" s="197">
        <v>2.4399999999999999E-3</v>
      </c>
      <c r="AF184" s="197">
        <v>0.12143999999999999</v>
      </c>
      <c r="AG184" s="197">
        <v>0.12073</v>
      </c>
      <c r="AH184" s="197">
        <v>3.6999999999999999E-4</v>
      </c>
      <c r="AI184" s="197">
        <v>3.4000000000000002E-4</v>
      </c>
      <c r="AJ184" s="197" t="s">
        <v>1852</v>
      </c>
      <c r="AK184" s="197" t="s">
        <v>1852</v>
      </c>
      <c r="AL184" s="197" t="s">
        <v>1852</v>
      </c>
      <c r="AM184" s="197" t="s">
        <v>1852</v>
      </c>
      <c r="AN184" s="178"/>
      <c r="AO184" s="178"/>
      <c r="AP184" s="178"/>
      <c r="AQ184" s="178"/>
      <c r="AR184" s="178"/>
      <c r="AS184" s="178"/>
      <c r="AT184" s="178"/>
      <c r="AU184" s="178"/>
      <c r="AV184" s="178"/>
      <c r="AW184" s="178"/>
      <c r="AX184" s="178"/>
      <c r="AY184" s="178"/>
    </row>
    <row r="185" spans="2:51">
      <c r="B185" s="194"/>
      <c r="C185" s="194"/>
      <c r="D185" s="194"/>
      <c r="E185" s="95"/>
      <c r="F185" s="95"/>
      <c r="G185" s="95"/>
      <c r="H185" s="95"/>
      <c r="Q185" s="1029"/>
      <c r="R185" s="1029" t="s">
        <v>1859</v>
      </c>
      <c r="S185" s="196" t="s">
        <v>384</v>
      </c>
      <c r="T185" s="197">
        <v>0.21285999999999999</v>
      </c>
      <c r="U185" s="197">
        <v>0.21102000000000001</v>
      </c>
      <c r="V185" s="197">
        <v>4.3200000000000001E-6</v>
      </c>
      <c r="W185" s="197">
        <v>1.8400000000000001E-3</v>
      </c>
      <c r="X185" s="197">
        <v>0.33566000000000001</v>
      </c>
      <c r="Y185" s="197">
        <v>0.33495999999999998</v>
      </c>
      <c r="Z185" s="197">
        <v>3.2000000000000003E-4</v>
      </c>
      <c r="AA185" s="197">
        <v>3.8000000000000002E-4</v>
      </c>
      <c r="AB185" s="197">
        <v>0.26918999999999998</v>
      </c>
      <c r="AC185" s="197">
        <v>0.26787</v>
      </c>
      <c r="AD185" s="197">
        <v>1.4999999999999999E-4</v>
      </c>
      <c r="AE185" s="197">
        <v>1.17E-3</v>
      </c>
      <c r="AF185" s="197">
        <v>9.6339999999999995E-2</v>
      </c>
      <c r="AG185" s="197">
        <v>9.5769999999999994E-2</v>
      </c>
      <c r="AH185" s="197">
        <v>2.9999999999999997E-4</v>
      </c>
      <c r="AI185" s="197">
        <v>2.7E-4</v>
      </c>
      <c r="AJ185" s="197">
        <v>0</v>
      </c>
      <c r="AK185" s="197">
        <v>0</v>
      </c>
      <c r="AL185" s="197">
        <v>0</v>
      </c>
      <c r="AM185" s="197">
        <v>0</v>
      </c>
      <c r="AN185" s="178"/>
      <c r="AO185" s="178"/>
      <c r="AP185" s="178"/>
      <c r="AQ185" s="178"/>
      <c r="AR185" s="178"/>
      <c r="AS185" s="178"/>
      <c r="AT185" s="178"/>
      <c r="AU185" s="178"/>
      <c r="AV185" s="178"/>
      <c r="AW185" s="178"/>
      <c r="AX185" s="178"/>
      <c r="AY185" s="178"/>
    </row>
    <row r="186" spans="2:51" ht="18">
      <c r="B186" s="195" t="s">
        <v>354</v>
      </c>
      <c r="C186" s="195" t="s">
        <v>1210</v>
      </c>
      <c r="D186" s="195" t="s">
        <v>194</v>
      </c>
      <c r="E186" s="196" t="s">
        <v>413</v>
      </c>
      <c r="F186" s="196" t="s">
        <v>414</v>
      </c>
      <c r="G186" s="98" t="s">
        <v>415</v>
      </c>
      <c r="H186" s="98" t="s">
        <v>416</v>
      </c>
      <c r="Q186" s="1029"/>
      <c r="R186" s="1029"/>
      <c r="S186" s="196" t="s">
        <v>385</v>
      </c>
      <c r="T186" s="197">
        <v>0.34258</v>
      </c>
      <c r="U186" s="197">
        <v>0.33960000000000001</v>
      </c>
      <c r="V186" s="197">
        <v>1.0000000000000001E-5</v>
      </c>
      <c r="W186" s="197">
        <v>2.97E-3</v>
      </c>
      <c r="X186" s="197">
        <v>0.54019000000000006</v>
      </c>
      <c r="Y186" s="197">
        <v>0.53907000000000005</v>
      </c>
      <c r="Z186" s="197">
        <v>5.1000000000000004E-4</v>
      </c>
      <c r="AA186" s="197">
        <v>6.0999999999999997E-4</v>
      </c>
      <c r="AB186" s="197">
        <v>0.43321999999999999</v>
      </c>
      <c r="AC186" s="197">
        <v>0.43108999999999997</v>
      </c>
      <c r="AD186" s="197">
        <v>2.4000000000000001E-4</v>
      </c>
      <c r="AE186" s="197">
        <v>1.89E-3</v>
      </c>
      <c r="AF186" s="197">
        <v>0.15503999999999998</v>
      </c>
      <c r="AG186" s="197">
        <v>0.15412999999999999</v>
      </c>
      <c r="AH186" s="197">
        <v>4.6999999999999999E-4</v>
      </c>
      <c r="AI186" s="197">
        <v>4.4000000000000002E-4</v>
      </c>
      <c r="AJ186" s="197">
        <v>0</v>
      </c>
      <c r="AK186" s="197">
        <v>0</v>
      </c>
      <c r="AL186" s="197">
        <v>0</v>
      </c>
      <c r="AM186" s="197">
        <v>0</v>
      </c>
      <c r="AN186" s="178"/>
      <c r="AO186" s="178"/>
      <c r="AP186" s="178"/>
      <c r="AQ186" s="178"/>
      <c r="AR186" s="178"/>
      <c r="AS186" s="178"/>
      <c r="AT186" s="178"/>
      <c r="AU186" s="178"/>
      <c r="AV186" s="178"/>
      <c r="AW186" s="178"/>
      <c r="AX186" s="178"/>
      <c r="AY186" s="178"/>
    </row>
    <row r="187" spans="2:51">
      <c r="B187" s="1013" t="s">
        <v>1860</v>
      </c>
      <c r="C187" s="1025" t="s">
        <v>1861</v>
      </c>
      <c r="D187" s="196" t="s">
        <v>1804</v>
      </c>
      <c r="E187" s="76">
        <v>2464.9499999999998</v>
      </c>
      <c r="F187" s="76">
        <v>2439.0700000000002</v>
      </c>
      <c r="G187" s="76">
        <v>6.89</v>
      </c>
      <c r="H187" s="76">
        <v>18.989999999999998</v>
      </c>
      <c r="Q187" s="1029"/>
      <c r="R187" s="1029" t="s">
        <v>1862</v>
      </c>
      <c r="S187" s="196" t="s">
        <v>384</v>
      </c>
      <c r="T187" s="197">
        <v>0.17332</v>
      </c>
      <c r="U187" s="197">
        <v>0.17147999999999999</v>
      </c>
      <c r="V187" s="197">
        <v>4.3200000000000001E-6</v>
      </c>
      <c r="W187" s="197">
        <v>1.8400000000000001E-3</v>
      </c>
      <c r="X187" s="197">
        <v>0.246</v>
      </c>
      <c r="Y187" s="197">
        <v>0.24529999999999999</v>
      </c>
      <c r="Z187" s="197">
        <v>3.2000000000000003E-4</v>
      </c>
      <c r="AA187" s="197">
        <v>3.8000000000000002E-4</v>
      </c>
      <c r="AB187" s="197">
        <v>0.23441000000000001</v>
      </c>
      <c r="AC187" s="197">
        <v>0.23352999999999999</v>
      </c>
      <c r="AD187" s="197">
        <v>2.7E-4</v>
      </c>
      <c r="AE187" s="197">
        <v>6.0999999999999997E-4</v>
      </c>
      <c r="AF187" s="197">
        <v>7.9810000000000006E-2</v>
      </c>
      <c r="AG187" s="197">
        <v>7.9350000000000004E-2</v>
      </c>
      <c r="AH187" s="197">
        <v>2.4000000000000001E-4</v>
      </c>
      <c r="AI187" s="197">
        <v>2.2000000000000001E-4</v>
      </c>
      <c r="AJ187" s="197">
        <v>0</v>
      </c>
      <c r="AK187" s="197">
        <v>0</v>
      </c>
      <c r="AL187" s="197">
        <v>0</v>
      </c>
      <c r="AM187" s="197">
        <v>0</v>
      </c>
      <c r="AN187" s="178"/>
      <c r="AO187" s="178"/>
      <c r="AP187" s="178"/>
      <c r="AQ187" s="178"/>
      <c r="AR187" s="178"/>
      <c r="AS187" s="178"/>
      <c r="AT187" s="178"/>
      <c r="AU187" s="178"/>
      <c r="AV187" s="178"/>
      <c r="AW187" s="178"/>
      <c r="AX187" s="178"/>
      <c r="AY187" s="178"/>
    </row>
    <row r="188" spans="2:51">
      <c r="B188" s="1014"/>
      <c r="C188" s="1026"/>
      <c r="D188" s="196" t="s">
        <v>1805</v>
      </c>
      <c r="E188" s="94">
        <v>0.3493</v>
      </c>
      <c r="F188" s="94">
        <v>0.34562999999999999</v>
      </c>
      <c r="G188" s="94">
        <v>9.7999999999999997E-4</v>
      </c>
      <c r="H188" s="94">
        <v>2.6900000000000001E-3</v>
      </c>
      <c r="Q188" s="1029"/>
      <c r="R188" s="1029"/>
      <c r="S188" s="196" t="s">
        <v>385</v>
      </c>
      <c r="T188" s="197">
        <v>0.27894999999999998</v>
      </c>
      <c r="U188" s="197">
        <v>0.27596999999999999</v>
      </c>
      <c r="V188" s="197">
        <v>1.0000000000000001E-5</v>
      </c>
      <c r="W188" s="197">
        <v>2.97E-3</v>
      </c>
      <c r="X188" s="197">
        <v>0.39590000000000003</v>
      </c>
      <c r="Y188" s="197">
        <v>0.39478000000000002</v>
      </c>
      <c r="Z188" s="197">
        <v>5.1000000000000004E-4</v>
      </c>
      <c r="AA188" s="197">
        <v>6.0999999999999997E-4</v>
      </c>
      <c r="AB188" s="197">
        <v>0.37723999999999996</v>
      </c>
      <c r="AC188" s="197">
        <v>0.37581999999999999</v>
      </c>
      <c r="AD188" s="197">
        <v>4.2999999999999999E-4</v>
      </c>
      <c r="AE188" s="197">
        <v>9.8999999999999999E-4</v>
      </c>
      <c r="AF188" s="197">
        <v>0.12845000000000001</v>
      </c>
      <c r="AG188" s="197">
        <v>0.12770000000000001</v>
      </c>
      <c r="AH188" s="197">
        <v>3.8999999999999999E-4</v>
      </c>
      <c r="AI188" s="197">
        <v>3.6000000000000002E-4</v>
      </c>
      <c r="AJ188" s="197">
        <v>0</v>
      </c>
      <c r="AK188" s="197">
        <v>0</v>
      </c>
      <c r="AL188" s="197">
        <v>0</v>
      </c>
      <c r="AM188" s="197">
        <v>0</v>
      </c>
      <c r="AN188" s="178"/>
      <c r="AO188" s="178"/>
      <c r="AP188" s="178"/>
      <c r="AQ188" s="178"/>
      <c r="AR188" s="178"/>
      <c r="AS188" s="178"/>
      <c r="AT188" s="178"/>
      <c r="AU188" s="178"/>
      <c r="AV188" s="178"/>
      <c r="AW188" s="178"/>
      <c r="AX188" s="178"/>
      <c r="AY188" s="178"/>
    </row>
    <row r="189" spans="2:51">
      <c r="B189" s="1014"/>
      <c r="C189" s="1027"/>
      <c r="D189" s="196" t="s">
        <v>1806</v>
      </c>
      <c r="E189" s="94">
        <v>0.33183000000000001</v>
      </c>
      <c r="F189" s="94">
        <v>0.32834999999999998</v>
      </c>
      <c r="G189" s="94">
        <v>9.3000000000000005E-4</v>
      </c>
      <c r="H189" s="94">
        <v>2.5600000000000002E-3</v>
      </c>
      <c r="Q189" s="1029"/>
      <c r="R189" s="1029" t="s">
        <v>1863</v>
      </c>
      <c r="S189" s="196" t="s">
        <v>384</v>
      </c>
      <c r="T189" s="197">
        <v>0.20257</v>
      </c>
      <c r="U189" s="197">
        <v>0.20072999999999999</v>
      </c>
      <c r="V189" s="197">
        <v>4.3200000000000001E-6</v>
      </c>
      <c r="W189" s="197">
        <v>1.8400000000000001E-3</v>
      </c>
      <c r="X189" s="197">
        <v>0.23663000000000001</v>
      </c>
      <c r="Y189" s="197">
        <v>0.23593</v>
      </c>
      <c r="Z189" s="197">
        <v>3.2000000000000003E-4</v>
      </c>
      <c r="AA189" s="197">
        <v>3.8000000000000002E-4</v>
      </c>
      <c r="AB189" s="197">
        <v>0.20924999999999999</v>
      </c>
      <c r="AC189" s="197">
        <v>0.20762</v>
      </c>
      <c r="AD189" s="197">
        <v>6.9999999999999994E-5</v>
      </c>
      <c r="AE189" s="197">
        <v>1.56E-3</v>
      </c>
      <c r="AF189" s="197">
        <v>7.6259999999999994E-2</v>
      </c>
      <c r="AG189" s="197">
        <v>7.5810000000000002E-2</v>
      </c>
      <c r="AH189" s="197">
        <v>2.3000000000000001E-4</v>
      </c>
      <c r="AI189" s="197">
        <v>2.2000000000000001E-4</v>
      </c>
      <c r="AJ189" s="197">
        <v>0</v>
      </c>
      <c r="AK189" s="197">
        <v>0</v>
      </c>
      <c r="AL189" s="197">
        <v>0</v>
      </c>
      <c r="AM189" s="197">
        <v>0</v>
      </c>
      <c r="AN189" s="178"/>
      <c r="AO189" s="178"/>
      <c r="AP189" s="178"/>
      <c r="AQ189" s="178"/>
      <c r="AR189" s="178"/>
      <c r="AS189" s="178"/>
      <c r="AT189" s="178"/>
      <c r="AU189" s="178"/>
      <c r="AV189" s="178"/>
      <c r="AW189" s="178"/>
      <c r="AX189" s="178"/>
      <c r="AY189" s="178"/>
    </row>
    <row r="190" spans="2:51">
      <c r="B190" s="1014"/>
      <c r="C190" s="1025" t="s">
        <v>1864</v>
      </c>
      <c r="D190" s="196" t="s">
        <v>1804</v>
      </c>
      <c r="E190" s="76">
        <v>2264.9299999999998</v>
      </c>
      <c r="F190" s="76">
        <v>2251</v>
      </c>
      <c r="G190" s="76">
        <v>0.63</v>
      </c>
      <c r="H190" s="76">
        <v>13.29</v>
      </c>
      <c r="Q190" s="1029"/>
      <c r="R190" s="1029"/>
      <c r="S190" s="196" t="s">
        <v>385</v>
      </c>
      <c r="T190" s="197">
        <v>0.32601999999999998</v>
      </c>
      <c r="U190" s="197">
        <v>0.32303999999999999</v>
      </c>
      <c r="V190" s="197">
        <v>1.0000000000000001E-5</v>
      </c>
      <c r="W190" s="197">
        <v>2.97E-3</v>
      </c>
      <c r="X190" s="197">
        <v>0.38081000000000004</v>
      </c>
      <c r="Y190" s="197">
        <v>0.37969000000000003</v>
      </c>
      <c r="Z190" s="197">
        <v>5.1000000000000004E-4</v>
      </c>
      <c r="AA190" s="197">
        <v>6.0999999999999997E-4</v>
      </c>
      <c r="AB190" s="197">
        <v>0.33674999999999999</v>
      </c>
      <c r="AC190" s="197">
        <v>0.33412999999999998</v>
      </c>
      <c r="AD190" s="197">
        <v>1.1E-4</v>
      </c>
      <c r="AE190" s="197">
        <v>2.5100000000000001E-3</v>
      </c>
      <c r="AF190" s="197">
        <v>0.12272999999999999</v>
      </c>
      <c r="AG190" s="197">
        <v>0.122</v>
      </c>
      <c r="AH190" s="197">
        <v>3.6999999999999999E-4</v>
      </c>
      <c r="AI190" s="197">
        <v>3.6000000000000002E-4</v>
      </c>
      <c r="AJ190" s="197">
        <v>0</v>
      </c>
      <c r="AK190" s="197">
        <v>0</v>
      </c>
      <c r="AL190" s="197">
        <v>0</v>
      </c>
      <c r="AM190" s="197">
        <v>0</v>
      </c>
      <c r="AN190" s="178"/>
      <c r="AO190" s="178"/>
      <c r="AP190" s="178"/>
      <c r="AQ190" s="178"/>
      <c r="AR190" s="178"/>
      <c r="AS190" s="178"/>
      <c r="AT190" s="178"/>
      <c r="AU190" s="178"/>
      <c r="AV190" s="178"/>
      <c r="AW190" s="178"/>
      <c r="AX190" s="178"/>
      <c r="AY190" s="178"/>
    </row>
    <row r="191" spans="2:51">
      <c r="B191" s="1014"/>
      <c r="C191" s="1026"/>
      <c r="D191" s="196" t="s">
        <v>1805</v>
      </c>
      <c r="E191" s="94">
        <v>0.32169999999999999</v>
      </c>
      <c r="F191" s="94">
        <v>0.31972</v>
      </c>
      <c r="G191" s="94">
        <v>9.0000000000000006E-5</v>
      </c>
      <c r="H191" s="94">
        <v>1.89E-3</v>
      </c>
      <c r="Q191" s="1029"/>
      <c r="R191" s="1029" t="s">
        <v>1865</v>
      </c>
      <c r="S191" s="196" t="s">
        <v>384</v>
      </c>
      <c r="T191" s="197">
        <v>0.18101</v>
      </c>
      <c r="U191" s="197">
        <v>0.17917</v>
      </c>
      <c r="V191" s="197">
        <v>4.3200000000000001E-6</v>
      </c>
      <c r="W191" s="197">
        <v>1.8400000000000001E-3</v>
      </c>
      <c r="X191" s="197">
        <v>0.19939999999999999</v>
      </c>
      <c r="Y191" s="197">
        <v>0.19869999999999999</v>
      </c>
      <c r="Z191" s="197">
        <v>3.2000000000000003E-4</v>
      </c>
      <c r="AA191" s="197">
        <v>3.8000000000000002E-4</v>
      </c>
      <c r="AB191" s="197">
        <v>0.18609999999999999</v>
      </c>
      <c r="AC191" s="197">
        <v>0.18457000000000001</v>
      </c>
      <c r="AD191" s="197">
        <v>9.0000000000000006E-5</v>
      </c>
      <c r="AE191" s="197">
        <v>1.4400000000000001E-3</v>
      </c>
      <c r="AF191" s="197" t="s">
        <v>1852</v>
      </c>
      <c r="AG191" s="197" t="s">
        <v>1852</v>
      </c>
      <c r="AH191" s="197" t="s">
        <v>1852</v>
      </c>
      <c r="AI191" s="197" t="s">
        <v>1852</v>
      </c>
      <c r="AJ191" s="197">
        <v>0</v>
      </c>
      <c r="AK191" s="197">
        <v>0</v>
      </c>
      <c r="AL191" s="197">
        <v>0</v>
      </c>
      <c r="AM191" s="197">
        <v>0</v>
      </c>
      <c r="AN191" s="178"/>
      <c r="AO191" s="178"/>
      <c r="AP191" s="178"/>
      <c r="AQ191" s="178"/>
      <c r="AR191" s="178"/>
      <c r="AS191" s="178"/>
      <c r="AT191" s="178"/>
      <c r="AU191" s="178"/>
      <c r="AV191" s="178"/>
      <c r="AW191" s="178"/>
      <c r="AX191" s="178"/>
      <c r="AY191" s="178"/>
    </row>
    <row r="192" spans="2:51">
      <c r="B192" s="1014"/>
      <c r="C192" s="1027"/>
      <c r="D192" s="196" t="s">
        <v>1806</v>
      </c>
      <c r="E192" s="94">
        <v>0.30560999999999999</v>
      </c>
      <c r="F192" s="94">
        <v>0.30373</v>
      </c>
      <c r="G192" s="94">
        <v>9.0000000000000006E-5</v>
      </c>
      <c r="H192" s="94">
        <v>1.7899999999999999E-3</v>
      </c>
      <c r="Q192" s="1029"/>
      <c r="R192" s="1029"/>
      <c r="S192" s="196" t="s">
        <v>385</v>
      </c>
      <c r="T192" s="197">
        <v>0.29132999999999998</v>
      </c>
      <c r="U192" s="197">
        <v>0.28835</v>
      </c>
      <c r="V192" s="197">
        <v>1.0000000000000001E-5</v>
      </c>
      <c r="W192" s="197">
        <v>2.97E-3</v>
      </c>
      <c r="X192" s="197">
        <v>0.32089000000000001</v>
      </c>
      <c r="Y192" s="197">
        <v>0.31977</v>
      </c>
      <c r="Z192" s="197">
        <v>5.1000000000000004E-4</v>
      </c>
      <c r="AA192" s="197">
        <v>6.0999999999999997E-4</v>
      </c>
      <c r="AB192" s="197">
        <v>0.29951</v>
      </c>
      <c r="AC192" s="197">
        <v>0.29704000000000003</v>
      </c>
      <c r="AD192" s="197">
        <v>1.4999999999999999E-4</v>
      </c>
      <c r="AE192" s="197">
        <v>2.32E-3</v>
      </c>
      <c r="AF192" s="197" t="s">
        <v>1852</v>
      </c>
      <c r="AG192" s="197" t="s">
        <v>1852</v>
      </c>
      <c r="AH192" s="197" t="s">
        <v>1852</v>
      </c>
      <c r="AI192" s="197" t="s">
        <v>1852</v>
      </c>
      <c r="AJ192" s="197">
        <v>0</v>
      </c>
      <c r="AK192" s="197">
        <v>0</v>
      </c>
      <c r="AL192" s="197">
        <v>0</v>
      </c>
      <c r="AM192" s="197">
        <v>0</v>
      </c>
      <c r="AN192" s="194"/>
      <c r="AO192" s="194"/>
      <c r="AP192" s="194"/>
      <c r="AQ192" s="194"/>
      <c r="AR192" s="194"/>
      <c r="AS192" s="194"/>
      <c r="AT192" s="194"/>
      <c r="AU192" s="194"/>
      <c r="AV192" s="194"/>
      <c r="AW192" s="194"/>
      <c r="AX192" s="194"/>
      <c r="AY192" s="194"/>
    </row>
    <row r="193" spans="2:51">
      <c r="B193" s="1014"/>
      <c r="C193" s="1025" t="s">
        <v>1866</v>
      </c>
      <c r="D193" s="196" t="s">
        <v>1804</v>
      </c>
      <c r="E193" s="76">
        <v>2744.72</v>
      </c>
      <c r="F193" s="76">
        <v>2505.61</v>
      </c>
      <c r="G193" s="76">
        <v>204.22</v>
      </c>
      <c r="H193" s="76">
        <v>34.89</v>
      </c>
      <c r="Q193" s="194"/>
      <c r="R193" s="194"/>
      <c r="S193" s="194"/>
      <c r="T193" s="194"/>
      <c r="U193" s="194"/>
      <c r="V193" s="194"/>
      <c r="W193" s="194"/>
      <c r="X193" s="194"/>
      <c r="Y193" s="194"/>
      <c r="Z193" s="194"/>
      <c r="AA193" s="194"/>
      <c r="AB193" s="194"/>
      <c r="AC193" s="194"/>
      <c r="AD193" s="194"/>
      <c r="AE193" s="194"/>
      <c r="AF193" s="174"/>
      <c r="AG193" s="174"/>
      <c r="AH193" s="174"/>
      <c r="AI193" s="174"/>
      <c r="AJ193" s="194"/>
      <c r="AK193" s="194"/>
      <c r="AL193" s="194"/>
      <c r="AM193" s="194"/>
      <c r="AN193" s="194"/>
      <c r="AO193" s="194"/>
      <c r="AP193" s="194"/>
      <c r="AQ193" s="194"/>
      <c r="AR193" s="194"/>
      <c r="AS193" s="194"/>
      <c r="AT193" s="194"/>
      <c r="AU193" s="194"/>
      <c r="AV193" s="194"/>
      <c r="AW193" s="194"/>
      <c r="AX193" s="194"/>
      <c r="AY193" s="194"/>
    </row>
    <row r="194" spans="2:51">
      <c r="B194" s="1014"/>
      <c r="C194" s="1026"/>
      <c r="D194" s="196" t="s">
        <v>1805</v>
      </c>
      <c r="E194" s="94">
        <v>0.36287999999999998</v>
      </c>
      <c r="F194" s="94">
        <v>0.33127000000000001</v>
      </c>
      <c r="G194" s="94">
        <v>2.7E-2</v>
      </c>
      <c r="H194" s="94">
        <v>4.6100000000000004E-3</v>
      </c>
      <c r="Q194" s="194"/>
      <c r="R194" s="194"/>
      <c r="S194" s="194"/>
      <c r="T194" s="194"/>
      <c r="U194" s="194"/>
      <c r="V194" s="194"/>
      <c r="W194" s="194"/>
      <c r="X194" s="194"/>
      <c r="Y194" s="194"/>
      <c r="Z194" s="194"/>
      <c r="AA194" s="194"/>
      <c r="AB194" s="194"/>
      <c r="AC194" s="194"/>
      <c r="AD194" s="194"/>
      <c r="AE194" s="194"/>
      <c r="AF194" s="194"/>
      <c r="AG194" s="194"/>
      <c r="AH194" s="194"/>
      <c r="AI194" s="194"/>
      <c r="AJ194" s="194"/>
      <c r="AK194" s="194"/>
      <c r="AL194" s="194"/>
      <c r="AM194" s="194"/>
      <c r="AN194" s="194"/>
      <c r="AO194" s="194"/>
      <c r="AP194" s="194"/>
      <c r="AQ194" s="194"/>
      <c r="AR194" s="194"/>
      <c r="AS194" s="194"/>
      <c r="AT194" s="194"/>
      <c r="AU194" s="194"/>
      <c r="AV194" s="194"/>
      <c r="AW194" s="194"/>
      <c r="AX194" s="194"/>
      <c r="AY194" s="194"/>
    </row>
    <row r="195" spans="2:51">
      <c r="B195" s="1014"/>
      <c r="C195" s="1027"/>
      <c r="D195" s="196" t="s">
        <v>1806</v>
      </c>
      <c r="E195" s="94">
        <v>0.34472999999999998</v>
      </c>
      <c r="F195" s="94">
        <v>0.31469999999999998</v>
      </c>
      <c r="G195" s="94">
        <v>2.5649999999999999E-2</v>
      </c>
      <c r="H195" s="94">
        <v>4.3800000000000002E-3</v>
      </c>
      <c r="Q195" s="194"/>
      <c r="R195" s="194"/>
      <c r="S195" s="194"/>
      <c r="T195" s="1031" t="s">
        <v>374</v>
      </c>
      <c r="U195" s="1031"/>
      <c r="V195" s="1031"/>
      <c r="W195" s="1031"/>
      <c r="X195" s="1031" t="s">
        <v>375</v>
      </c>
      <c r="Y195" s="1031"/>
      <c r="Z195" s="1031"/>
      <c r="AA195" s="1031"/>
      <c r="AB195" s="1031" t="s">
        <v>376</v>
      </c>
      <c r="AC195" s="1031"/>
      <c r="AD195" s="1031"/>
      <c r="AE195" s="1031"/>
      <c r="AF195" s="1040" t="s">
        <v>377</v>
      </c>
      <c r="AG195" s="1040"/>
      <c r="AH195" s="1040"/>
      <c r="AI195" s="1040"/>
      <c r="AJ195" s="1031" t="s">
        <v>378</v>
      </c>
      <c r="AK195" s="1031"/>
      <c r="AL195" s="1031"/>
      <c r="AM195" s="1031"/>
      <c r="AN195" s="1031" t="s">
        <v>379</v>
      </c>
      <c r="AO195" s="1031"/>
      <c r="AP195" s="1031"/>
      <c r="AQ195" s="1031"/>
      <c r="AR195" s="1031" t="s">
        <v>380</v>
      </c>
      <c r="AS195" s="1031"/>
      <c r="AT195" s="1031"/>
      <c r="AU195" s="1031"/>
      <c r="AV195" s="1031" t="s">
        <v>381</v>
      </c>
      <c r="AW195" s="1031"/>
      <c r="AX195" s="1031"/>
      <c r="AY195" s="1031"/>
    </row>
    <row r="196" spans="2:51" ht="18">
      <c r="B196" s="1014"/>
      <c r="C196" s="1025" t="s">
        <v>1867</v>
      </c>
      <c r="D196" s="196" t="s">
        <v>1804</v>
      </c>
      <c r="E196" s="76">
        <v>3094.6</v>
      </c>
      <c r="F196" s="76">
        <v>3073.83</v>
      </c>
      <c r="G196" s="76">
        <v>7.45</v>
      </c>
      <c r="H196" s="76">
        <v>13.32</v>
      </c>
      <c r="Q196" s="195" t="s">
        <v>354</v>
      </c>
      <c r="R196" s="195" t="s">
        <v>369</v>
      </c>
      <c r="S196" s="195" t="s">
        <v>194</v>
      </c>
      <c r="T196" s="196" t="s">
        <v>413</v>
      </c>
      <c r="U196" s="196" t="s">
        <v>414</v>
      </c>
      <c r="V196" s="196" t="s">
        <v>415</v>
      </c>
      <c r="W196" s="196" t="s">
        <v>416</v>
      </c>
      <c r="X196" s="196" t="s">
        <v>413</v>
      </c>
      <c r="Y196" s="196" t="s">
        <v>414</v>
      </c>
      <c r="Z196" s="196" t="s">
        <v>415</v>
      </c>
      <c r="AA196" s="196" t="s">
        <v>416</v>
      </c>
      <c r="AB196" s="196" t="s">
        <v>413</v>
      </c>
      <c r="AC196" s="196" t="s">
        <v>414</v>
      </c>
      <c r="AD196" s="196" t="s">
        <v>415</v>
      </c>
      <c r="AE196" s="196" t="s">
        <v>416</v>
      </c>
      <c r="AF196" s="175" t="s">
        <v>413</v>
      </c>
      <c r="AG196" s="175" t="s">
        <v>414</v>
      </c>
      <c r="AH196" s="175" t="s">
        <v>415</v>
      </c>
      <c r="AI196" s="175" t="s">
        <v>416</v>
      </c>
      <c r="AJ196" s="196" t="s">
        <v>413</v>
      </c>
      <c r="AK196" s="196" t="s">
        <v>414</v>
      </c>
      <c r="AL196" s="196" t="s">
        <v>415</v>
      </c>
      <c r="AM196" s="196" t="s">
        <v>416</v>
      </c>
      <c r="AN196" s="196" t="s">
        <v>413</v>
      </c>
      <c r="AO196" s="196" t="s">
        <v>414</v>
      </c>
      <c r="AP196" s="196" t="s">
        <v>415</v>
      </c>
      <c r="AQ196" s="196" t="s">
        <v>416</v>
      </c>
      <c r="AR196" s="196" t="s">
        <v>413</v>
      </c>
      <c r="AS196" s="196" t="s">
        <v>414</v>
      </c>
      <c r="AT196" s="196" t="s">
        <v>415</v>
      </c>
      <c r="AU196" s="196" t="s">
        <v>416</v>
      </c>
      <c r="AV196" s="196" t="s">
        <v>413</v>
      </c>
      <c r="AW196" s="196" t="s">
        <v>414</v>
      </c>
      <c r="AX196" s="196" t="s">
        <v>415</v>
      </c>
      <c r="AY196" s="196" t="s">
        <v>416</v>
      </c>
    </row>
    <row r="197" spans="2:51">
      <c r="B197" s="1014"/>
      <c r="C197" s="1026"/>
      <c r="D197" s="196" t="s">
        <v>1805</v>
      </c>
      <c r="E197" s="94">
        <v>0.36841000000000002</v>
      </c>
      <c r="F197" s="94">
        <v>0.36592999999999998</v>
      </c>
      <c r="G197" s="94">
        <v>8.8999999999999995E-4</v>
      </c>
      <c r="H197" s="94">
        <v>1.5900000000000001E-3</v>
      </c>
      <c r="Q197" s="1029" t="s">
        <v>382</v>
      </c>
      <c r="R197" s="1029" t="s">
        <v>383</v>
      </c>
      <c r="S197" s="196" t="s">
        <v>384</v>
      </c>
      <c r="T197" s="197">
        <v>0.14208000000000001</v>
      </c>
      <c r="U197" s="197">
        <v>0.14024</v>
      </c>
      <c r="V197" s="197">
        <v>4.3200000000000001E-6</v>
      </c>
      <c r="W197" s="197">
        <v>1.8400000000000001E-3</v>
      </c>
      <c r="X197" s="197">
        <v>0.15371000000000001</v>
      </c>
      <c r="Y197" s="197">
        <v>0.15301000000000001</v>
      </c>
      <c r="Z197" s="197">
        <v>3.2000000000000003E-4</v>
      </c>
      <c r="AA197" s="197">
        <v>3.8000000000000002E-4</v>
      </c>
      <c r="AB197" s="197">
        <v>0.1052</v>
      </c>
      <c r="AC197" s="197">
        <v>0.10409</v>
      </c>
      <c r="AD197" s="197">
        <v>2.1000000000000001E-4</v>
      </c>
      <c r="AE197" s="197">
        <v>8.9999999999999998E-4</v>
      </c>
      <c r="AF197" s="172"/>
      <c r="AG197" s="172"/>
      <c r="AH197" s="172"/>
      <c r="AI197" s="172"/>
      <c r="AJ197" s="176"/>
      <c r="AK197" s="176"/>
      <c r="AL197" s="176"/>
      <c r="AM197" s="176"/>
      <c r="AN197" s="206">
        <v>0.14957999999999999</v>
      </c>
      <c r="AO197" s="206">
        <v>0.14846999999999999</v>
      </c>
      <c r="AP197" s="206">
        <v>2.1000000000000001E-4</v>
      </c>
      <c r="AQ197" s="206">
        <v>8.9999999999999998E-4</v>
      </c>
      <c r="AR197" s="206">
        <v>2.9350000000000001E-2</v>
      </c>
      <c r="AS197" s="206">
        <v>2.9180000000000001E-2</v>
      </c>
      <c r="AT197" s="206">
        <v>9.0000000000000006E-5</v>
      </c>
      <c r="AU197" s="206">
        <v>8.0000000000000007E-5</v>
      </c>
      <c r="AV197" s="177">
        <v>0</v>
      </c>
      <c r="AW197" s="177">
        <v>0</v>
      </c>
      <c r="AX197" s="177">
        <v>0</v>
      </c>
      <c r="AY197" s="177">
        <v>0</v>
      </c>
    </row>
    <row r="198" spans="2:51">
      <c r="B198" s="1014"/>
      <c r="C198" s="1027"/>
      <c r="D198" s="196" t="s">
        <v>1806</v>
      </c>
      <c r="E198" s="94">
        <v>0.34998000000000001</v>
      </c>
      <c r="F198" s="94">
        <v>0.34764</v>
      </c>
      <c r="G198" s="94">
        <v>8.4000000000000003E-4</v>
      </c>
      <c r="H198" s="94">
        <v>1.5100000000000001E-3</v>
      </c>
      <c r="Q198" s="1029"/>
      <c r="R198" s="1029"/>
      <c r="S198" s="196" t="s">
        <v>385</v>
      </c>
      <c r="T198" s="197">
        <v>0.22868000000000002</v>
      </c>
      <c r="U198" s="197">
        <v>0.22570000000000001</v>
      </c>
      <c r="V198" s="197">
        <v>1.0000000000000001E-5</v>
      </c>
      <c r="W198" s="197">
        <v>2.97E-3</v>
      </c>
      <c r="X198" s="197">
        <v>0.24736</v>
      </c>
      <c r="Y198" s="197">
        <v>0.24623999999999999</v>
      </c>
      <c r="Z198" s="197">
        <v>5.1000000000000004E-4</v>
      </c>
      <c r="AA198" s="197">
        <v>6.0999999999999997E-4</v>
      </c>
      <c r="AB198" s="197">
        <v>0.16930000000000001</v>
      </c>
      <c r="AC198" s="197">
        <v>0.16752</v>
      </c>
      <c r="AD198" s="197">
        <v>3.3E-4</v>
      </c>
      <c r="AE198" s="197">
        <v>1.4499999999999999E-3</v>
      </c>
      <c r="AF198" s="172"/>
      <c r="AG198" s="172"/>
      <c r="AH198" s="172"/>
      <c r="AI198" s="172"/>
      <c r="AJ198" s="176"/>
      <c r="AK198" s="176"/>
      <c r="AL198" s="176"/>
      <c r="AM198" s="176"/>
      <c r="AN198" s="206">
        <v>0.24072000000000002</v>
      </c>
      <c r="AO198" s="206">
        <v>0.23894000000000001</v>
      </c>
      <c r="AP198" s="206">
        <v>3.3E-4</v>
      </c>
      <c r="AQ198" s="206">
        <v>1.4499999999999999E-3</v>
      </c>
      <c r="AR198" s="206">
        <v>4.7230000000000001E-2</v>
      </c>
      <c r="AS198" s="206">
        <v>4.6960000000000002E-2</v>
      </c>
      <c r="AT198" s="206">
        <v>1.3999999999999999E-4</v>
      </c>
      <c r="AU198" s="206">
        <v>1.2999999999999999E-4</v>
      </c>
      <c r="AV198" s="177">
        <v>0</v>
      </c>
      <c r="AW198" s="177">
        <v>0</v>
      </c>
      <c r="AX198" s="177">
        <v>0</v>
      </c>
      <c r="AY198" s="177">
        <v>0</v>
      </c>
    </row>
    <row r="199" spans="2:51">
      <c r="B199" s="1014"/>
      <c r="C199" s="1025" t="s">
        <v>1868</v>
      </c>
      <c r="D199" s="196" t="s">
        <v>1804</v>
      </c>
      <c r="E199" s="76">
        <v>3393.76</v>
      </c>
      <c r="F199" s="76">
        <v>3384.12</v>
      </c>
      <c r="G199" s="76">
        <v>3.02</v>
      </c>
      <c r="H199" s="76">
        <v>6.62</v>
      </c>
      <c r="Q199" s="1029"/>
      <c r="R199" s="1029" t="s">
        <v>386</v>
      </c>
      <c r="S199" s="196" t="s">
        <v>384</v>
      </c>
      <c r="T199" s="197">
        <v>0.17061000000000001</v>
      </c>
      <c r="U199" s="197">
        <v>0.16877</v>
      </c>
      <c r="V199" s="197">
        <v>4.3200000000000001E-6</v>
      </c>
      <c r="W199" s="197">
        <v>1.8400000000000001E-3</v>
      </c>
      <c r="X199" s="197">
        <v>0.19228000000000001</v>
      </c>
      <c r="Y199" s="197">
        <v>0.19158</v>
      </c>
      <c r="Z199" s="197">
        <v>3.2000000000000003E-4</v>
      </c>
      <c r="AA199" s="197">
        <v>3.8000000000000002E-4</v>
      </c>
      <c r="AB199" s="197">
        <v>0.10895000000000001</v>
      </c>
      <c r="AC199" s="197">
        <v>0.10764</v>
      </c>
      <c r="AD199" s="197">
        <v>1.4999999999999999E-4</v>
      </c>
      <c r="AE199" s="197">
        <v>1.16E-3</v>
      </c>
      <c r="AF199" s="839">
        <v>0.16175999999999999</v>
      </c>
      <c r="AG199" s="839">
        <v>0.15972</v>
      </c>
      <c r="AH199" s="839">
        <v>1.5900000000000001E-3</v>
      </c>
      <c r="AI199" s="839">
        <v>4.4999999999999999E-4</v>
      </c>
      <c r="AJ199" s="206">
        <v>0.18065999999999999</v>
      </c>
      <c r="AK199" s="206">
        <v>0.18015999999999999</v>
      </c>
      <c r="AL199" s="206">
        <v>5.0000000000000002E-5</v>
      </c>
      <c r="AM199" s="206">
        <v>4.4999999999999999E-4</v>
      </c>
      <c r="AN199" s="206">
        <v>0.18071000000000001</v>
      </c>
      <c r="AO199" s="206">
        <v>0.1794</v>
      </c>
      <c r="AP199" s="206">
        <v>1.4999999999999999E-4</v>
      </c>
      <c r="AQ199" s="206">
        <v>1.16E-3</v>
      </c>
      <c r="AR199" s="206">
        <v>7.0830000000000004E-2</v>
      </c>
      <c r="AS199" s="206">
        <v>7.0400000000000004E-2</v>
      </c>
      <c r="AT199" s="206">
        <v>2.1000000000000001E-4</v>
      </c>
      <c r="AU199" s="206">
        <v>2.2000000000000001E-4</v>
      </c>
      <c r="AV199" s="177">
        <v>0</v>
      </c>
      <c r="AW199" s="177">
        <v>0</v>
      </c>
      <c r="AX199" s="177">
        <v>0</v>
      </c>
      <c r="AY199" s="177">
        <v>0</v>
      </c>
    </row>
    <row r="200" spans="2:51">
      <c r="B200" s="1014"/>
      <c r="C200" s="1026"/>
      <c r="D200" s="196" t="s">
        <v>1805</v>
      </c>
      <c r="E200" s="94">
        <v>0.35964000000000002</v>
      </c>
      <c r="F200" s="94">
        <v>0.35860999999999998</v>
      </c>
      <c r="G200" s="94">
        <v>3.2000000000000003E-4</v>
      </c>
      <c r="H200" s="94">
        <v>6.9999999999999999E-4</v>
      </c>
      <c r="Q200" s="1029"/>
      <c r="R200" s="1029"/>
      <c r="S200" s="196" t="s">
        <v>385</v>
      </c>
      <c r="T200" s="197">
        <v>0.27459</v>
      </c>
      <c r="U200" s="197">
        <v>0.27161000000000002</v>
      </c>
      <c r="V200" s="197">
        <v>1.0000000000000001E-5</v>
      </c>
      <c r="W200" s="197">
        <v>2.97E-3</v>
      </c>
      <c r="X200" s="197">
        <v>0.30945</v>
      </c>
      <c r="Y200" s="197">
        <v>0.30832999999999999</v>
      </c>
      <c r="Z200" s="197">
        <v>5.1000000000000004E-4</v>
      </c>
      <c r="AA200" s="197">
        <v>6.0999999999999997E-4</v>
      </c>
      <c r="AB200" s="197">
        <v>0.17534</v>
      </c>
      <c r="AC200" s="197">
        <v>0.17323</v>
      </c>
      <c r="AD200" s="197">
        <v>2.4000000000000001E-4</v>
      </c>
      <c r="AE200" s="197">
        <v>1.8699999999999999E-3</v>
      </c>
      <c r="AF200" s="839">
        <v>0.26034000000000002</v>
      </c>
      <c r="AG200" s="839">
        <v>0.25705</v>
      </c>
      <c r="AH200" s="839">
        <v>2.5699999999999998E-3</v>
      </c>
      <c r="AI200" s="839">
        <v>7.2000000000000005E-4</v>
      </c>
      <c r="AJ200" s="206">
        <v>0.29073000000000004</v>
      </c>
      <c r="AK200" s="206">
        <v>0.28993000000000002</v>
      </c>
      <c r="AL200" s="206">
        <v>8.0000000000000007E-5</v>
      </c>
      <c r="AM200" s="206">
        <v>7.2000000000000005E-4</v>
      </c>
      <c r="AN200" s="206">
        <v>0.29082000000000002</v>
      </c>
      <c r="AO200" s="206">
        <v>0.28871000000000002</v>
      </c>
      <c r="AP200" s="206">
        <v>2.4000000000000001E-4</v>
      </c>
      <c r="AQ200" s="206">
        <v>1.8699999999999999E-3</v>
      </c>
      <c r="AR200" s="206">
        <v>0.11398999999999999</v>
      </c>
      <c r="AS200" s="206">
        <v>0.1133</v>
      </c>
      <c r="AT200" s="206">
        <v>3.4000000000000002E-4</v>
      </c>
      <c r="AU200" s="206">
        <v>3.5E-4</v>
      </c>
      <c r="AV200" s="177">
        <v>0</v>
      </c>
      <c r="AW200" s="177">
        <v>0</v>
      </c>
      <c r="AX200" s="177">
        <v>0</v>
      </c>
      <c r="AY200" s="177">
        <v>0</v>
      </c>
    </row>
    <row r="201" spans="2:51">
      <c r="B201" s="1014"/>
      <c r="C201" s="1027"/>
      <c r="D201" s="196" t="s">
        <v>1806</v>
      </c>
      <c r="E201" s="94">
        <v>0.34165000000000001</v>
      </c>
      <c r="F201" s="94">
        <v>0.34067999999999998</v>
      </c>
      <c r="G201" s="94">
        <v>2.9999999999999997E-4</v>
      </c>
      <c r="H201" s="94">
        <v>6.7000000000000002E-4</v>
      </c>
      <c r="Q201" s="1029"/>
      <c r="R201" s="1029" t="s">
        <v>387</v>
      </c>
      <c r="S201" s="196" t="s">
        <v>384</v>
      </c>
      <c r="T201" s="197">
        <v>0.20946999999999999</v>
      </c>
      <c r="U201" s="197">
        <v>0.20763000000000001</v>
      </c>
      <c r="V201" s="197">
        <v>4.3200000000000001E-6</v>
      </c>
      <c r="W201" s="197">
        <v>1.8400000000000001E-3</v>
      </c>
      <c r="X201" s="197">
        <v>0.28294999999999998</v>
      </c>
      <c r="Y201" s="197">
        <v>0.28225</v>
      </c>
      <c r="Z201" s="197">
        <v>3.2000000000000003E-4</v>
      </c>
      <c r="AA201" s="197">
        <v>3.8000000000000002E-4</v>
      </c>
      <c r="AB201" s="197">
        <v>0.13177</v>
      </c>
      <c r="AC201" s="197">
        <v>0.13022</v>
      </c>
      <c r="AD201" s="197">
        <v>9.0000000000000006E-5</v>
      </c>
      <c r="AE201" s="197">
        <v>1.4599999999999999E-3</v>
      </c>
      <c r="AF201" s="839">
        <v>0.23735000000000001</v>
      </c>
      <c r="AG201" s="839">
        <v>0.23530999999999999</v>
      </c>
      <c r="AH201" s="839">
        <v>1.5900000000000001E-3</v>
      </c>
      <c r="AI201" s="839">
        <v>4.4999999999999999E-4</v>
      </c>
      <c r="AJ201" s="206">
        <v>0.26590999999999998</v>
      </c>
      <c r="AK201" s="206">
        <v>0.26540999999999998</v>
      </c>
      <c r="AL201" s="206">
        <v>5.0000000000000002E-5</v>
      </c>
      <c r="AM201" s="206">
        <v>4.4999999999999999E-4</v>
      </c>
      <c r="AN201" s="206">
        <v>0.22857</v>
      </c>
      <c r="AO201" s="206">
        <v>0.22702</v>
      </c>
      <c r="AP201" s="206">
        <v>9.0000000000000006E-5</v>
      </c>
      <c r="AQ201" s="206">
        <v>1.4599999999999999E-3</v>
      </c>
      <c r="AR201" s="206">
        <v>7.7310000000000004E-2</v>
      </c>
      <c r="AS201" s="206">
        <v>7.6850000000000002E-2</v>
      </c>
      <c r="AT201" s="206">
        <v>2.4000000000000001E-4</v>
      </c>
      <c r="AU201" s="206">
        <v>2.2000000000000001E-4</v>
      </c>
      <c r="AV201" s="177">
        <v>0</v>
      </c>
      <c r="AW201" s="177">
        <v>0</v>
      </c>
      <c r="AX201" s="177">
        <v>0</v>
      </c>
      <c r="AY201" s="177">
        <v>0</v>
      </c>
    </row>
    <row r="202" spans="2:51">
      <c r="B202" s="1014"/>
      <c r="C202" s="1025" t="s">
        <v>1869</v>
      </c>
      <c r="D202" s="196" t="s">
        <v>1804</v>
      </c>
      <c r="E202" s="76">
        <v>2264.9299999999998</v>
      </c>
      <c r="F202" s="76">
        <v>2251</v>
      </c>
      <c r="G202" s="76">
        <v>0.63</v>
      </c>
      <c r="H202" s="76">
        <v>13.29</v>
      </c>
      <c r="Q202" s="1029"/>
      <c r="R202" s="1029"/>
      <c r="S202" s="196" t="s">
        <v>385</v>
      </c>
      <c r="T202" s="197">
        <v>0.33712999999999999</v>
      </c>
      <c r="U202" s="197">
        <v>0.33415</v>
      </c>
      <c r="V202" s="197">
        <v>1.0000000000000001E-5</v>
      </c>
      <c r="W202" s="197">
        <v>2.97E-3</v>
      </c>
      <c r="X202" s="197">
        <v>0.45535999999999999</v>
      </c>
      <c r="Y202" s="197">
        <v>0.45423999999999998</v>
      </c>
      <c r="Z202" s="197">
        <v>5.1000000000000004E-4</v>
      </c>
      <c r="AA202" s="197">
        <v>6.0999999999999997E-4</v>
      </c>
      <c r="AB202" s="197">
        <v>0.21207000000000001</v>
      </c>
      <c r="AC202" s="197">
        <v>0.20957000000000001</v>
      </c>
      <c r="AD202" s="197">
        <v>1.3999999999999999E-4</v>
      </c>
      <c r="AE202" s="197">
        <v>2.3600000000000001E-3</v>
      </c>
      <c r="AF202" s="839">
        <v>0.38198000000000004</v>
      </c>
      <c r="AG202" s="839">
        <v>0.37869000000000003</v>
      </c>
      <c r="AH202" s="839">
        <v>2.5699999999999998E-3</v>
      </c>
      <c r="AI202" s="839">
        <v>7.2000000000000005E-4</v>
      </c>
      <c r="AJ202" s="206">
        <v>0.42794000000000004</v>
      </c>
      <c r="AK202" s="206">
        <v>0.42714000000000002</v>
      </c>
      <c r="AL202" s="206">
        <v>8.0000000000000007E-5</v>
      </c>
      <c r="AM202" s="206">
        <v>7.2000000000000005E-4</v>
      </c>
      <c r="AN202" s="206">
        <v>0.36784999999999995</v>
      </c>
      <c r="AO202" s="206">
        <v>0.36535000000000001</v>
      </c>
      <c r="AP202" s="206">
        <v>1.3999999999999999E-4</v>
      </c>
      <c r="AQ202" s="206">
        <v>2.3600000000000001E-3</v>
      </c>
      <c r="AR202" s="206">
        <v>0.12442</v>
      </c>
      <c r="AS202" s="206">
        <v>0.12368</v>
      </c>
      <c r="AT202" s="206">
        <v>3.8000000000000002E-4</v>
      </c>
      <c r="AU202" s="206">
        <v>3.6000000000000002E-4</v>
      </c>
      <c r="AV202" s="177">
        <v>0</v>
      </c>
      <c r="AW202" s="177">
        <v>0</v>
      </c>
      <c r="AX202" s="177">
        <v>0</v>
      </c>
      <c r="AY202" s="177">
        <v>0</v>
      </c>
    </row>
    <row r="203" spans="2:51">
      <c r="B203" s="1014"/>
      <c r="C203" s="1026"/>
      <c r="D203" s="196" t="s">
        <v>1805</v>
      </c>
      <c r="E203" s="94">
        <v>0.33853</v>
      </c>
      <c r="F203" s="94">
        <v>0.33645000000000003</v>
      </c>
      <c r="G203" s="94">
        <v>9.0000000000000006E-5</v>
      </c>
      <c r="H203" s="94">
        <v>1.99E-3</v>
      </c>
      <c r="Q203" s="1029"/>
      <c r="R203" s="1029" t="s">
        <v>388</v>
      </c>
      <c r="S203" s="196" t="s">
        <v>384</v>
      </c>
      <c r="T203" s="197">
        <v>0.17335999999999999</v>
      </c>
      <c r="U203" s="197">
        <v>0.17152000000000001</v>
      </c>
      <c r="V203" s="197">
        <v>4.3200000000000001E-6</v>
      </c>
      <c r="W203" s="197">
        <v>1.8400000000000001E-3</v>
      </c>
      <c r="X203" s="197">
        <v>0.18084</v>
      </c>
      <c r="Y203" s="197">
        <v>0.18013999999999999</v>
      </c>
      <c r="Z203" s="197">
        <v>3.2000000000000003E-4</v>
      </c>
      <c r="AA203" s="197">
        <v>3.8000000000000002E-4</v>
      </c>
      <c r="AB203" s="197">
        <v>0.11473</v>
      </c>
      <c r="AC203" s="197">
        <v>0.11346000000000001</v>
      </c>
      <c r="AD203" s="197">
        <v>1.6000000000000001E-4</v>
      </c>
      <c r="AE203" s="197">
        <v>1.1100000000000001E-3</v>
      </c>
      <c r="AF203" s="839">
        <v>0.17802999999999999</v>
      </c>
      <c r="AG203" s="839">
        <v>0.17599000000000001</v>
      </c>
      <c r="AH203" s="839">
        <v>1.5900000000000001E-3</v>
      </c>
      <c r="AI203" s="839">
        <v>4.4999999999999999E-4</v>
      </c>
      <c r="AJ203" s="206">
        <v>0.19900999999999999</v>
      </c>
      <c r="AK203" s="206">
        <v>0.19850999999999999</v>
      </c>
      <c r="AL203" s="206">
        <v>5.0000000000000002E-5</v>
      </c>
      <c r="AM203" s="206">
        <v>4.4999999999999999E-4</v>
      </c>
      <c r="AN203" s="206">
        <v>0.17710000000000001</v>
      </c>
      <c r="AO203" s="206">
        <v>0.17582999999999999</v>
      </c>
      <c r="AP203" s="206">
        <v>1.6000000000000001E-4</v>
      </c>
      <c r="AQ203" s="206">
        <v>1.1100000000000001E-3</v>
      </c>
      <c r="AR203" s="206">
        <v>7.0750000000000007E-2</v>
      </c>
      <c r="AS203" s="206">
        <v>7.0330000000000004E-2</v>
      </c>
      <c r="AT203" s="206">
        <v>2.1000000000000001E-4</v>
      </c>
      <c r="AU203" s="206">
        <v>2.1000000000000001E-4</v>
      </c>
      <c r="AV203" s="177">
        <v>0</v>
      </c>
      <c r="AW203" s="177">
        <v>0</v>
      </c>
      <c r="AX203" s="177">
        <v>0</v>
      </c>
      <c r="AY203" s="177">
        <v>0</v>
      </c>
    </row>
    <row r="204" spans="2:51">
      <c r="B204" s="1015"/>
      <c r="C204" s="1027"/>
      <c r="D204" s="196" t="s">
        <v>1806</v>
      </c>
      <c r="E204" s="94">
        <v>0.32161000000000001</v>
      </c>
      <c r="F204" s="94">
        <v>0.31963000000000003</v>
      </c>
      <c r="G204" s="94">
        <v>9.0000000000000006E-5</v>
      </c>
      <c r="H204" s="94">
        <v>1.89E-3</v>
      </c>
      <c r="Q204" s="1029"/>
      <c r="R204" s="1029"/>
      <c r="S204" s="196" t="s">
        <v>385</v>
      </c>
      <c r="T204" s="197">
        <v>0.27900999999999998</v>
      </c>
      <c r="U204" s="197">
        <v>0.27603</v>
      </c>
      <c r="V204" s="197">
        <v>1.0000000000000001E-5</v>
      </c>
      <c r="W204" s="197">
        <v>2.97E-3</v>
      </c>
      <c r="X204" s="197">
        <v>0.29103000000000001</v>
      </c>
      <c r="Y204" s="197">
        <v>0.28991</v>
      </c>
      <c r="Z204" s="197">
        <v>5.1000000000000004E-4</v>
      </c>
      <c r="AA204" s="197">
        <v>6.0999999999999997E-4</v>
      </c>
      <c r="AB204" s="197">
        <v>0.18464000000000003</v>
      </c>
      <c r="AC204" s="197">
        <v>0.18259</v>
      </c>
      <c r="AD204" s="197">
        <v>2.5999999999999998E-4</v>
      </c>
      <c r="AE204" s="197">
        <v>1.7899999999999999E-3</v>
      </c>
      <c r="AF204" s="839">
        <v>0.28653000000000001</v>
      </c>
      <c r="AG204" s="839">
        <v>0.28323999999999999</v>
      </c>
      <c r="AH204" s="839">
        <v>2.5699999999999998E-3</v>
      </c>
      <c r="AI204" s="839">
        <v>7.2000000000000005E-4</v>
      </c>
      <c r="AJ204" s="206">
        <v>0.32027</v>
      </c>
      <c r="AK204" s="206">
        <v>0.31946999999999998</v>
      </c>
      <c r="AL204" s="206">
        <v>8.0000000000000007E-5</v>
      </c>
      <c r="AM204" s="206">
        <v>7.2000000000000005E-4</v>
      </c>
      <c r="AN204" s="206">
        <v>0.28502</v>
      </c>
      <c r="AO204" s="206">
        <v>0.28297</v>
      </c>
      <c r="AP204" s="206">
        <v>2.5999999999999998E-4</v>
      </c>
      <c r="AQ204" s="206">
        <v>1.7899999999999999E-3</v>
      </c>
      <c r="AR204" s="206">
        <v>0.11386000000000002</v>
      </c>
      <c r="AS204" s="206">
        <v>0.11318</v>
      </c>
      <c r="AT204" s="206">
        <v>3.4000000000000002E-4</v>
      </c>
      <c r="AU204" s="206">
        <v>3.4000000000000002E-4</v>
      </c>
      <c r="AV204" s="177">
        <v>0</v>
      </c>
      <c r="AW204" s="177">
        <v>0</v>
      </c>
      <c r="AX204" s="177">
        <v>0</v>
      </c>
      <c r="AY204" s="177">
        <v>0</v>
      </c>
    </row>
    <row r="205" spans="2:51">
      <c r="Q205" s="194"/>
      <c r="R205" s="194"/>
      <c r="S205" s="194"/>
      <c r="T205" s="194"/>
      <c r="U205" s="194"/>
      <c r="V205" s="194"/>
      <c r="W205" s="194"/>
      <c r="X205" s="194"/>
      <c r="Y205" s="194"/>
      <c r="Z205" s="194"/>
      <c r="AA205" s="194"/>
      <c r="AB205" s="194"/>
      <c r="AC205" s="194"/>
      <c r="AD205" s="194"/>
      <c r="AE205" s="194"/>
      <c r="AF205" s="194"/>
      <c r="AG205" s="194"/>
      <c r="AH205" s="194"/>
      <c r="AI205" s="194"/>
      <c r="AJ205" s="194"/>
      <c r="AK205" s="194"/>
      <c r="AL205" s="194"/>
      <c r="AM205" s="194"/>
      <c r="AN205" s="194"/>
      <c r="AO205" s="194"/>
      <c r="AP205" s="194"/>
      <c r="AQ205" s="194"/>
      <c r="AR205" s="194"/>
      <c r="AS205" s="194"/>
      <c r="AT205" s="194"/>
      <c r="AU205" s="194"/>
      <c r="AV205" s="194"/>
      <c r="AW205" s="194"/>
      <c r="AX205" s="194"/>
      <c r="AY205" s="194"/>
    </row>
    <row r="206" spans="2:51">
      <c r="Q206" s="194"/>
      <c r="R206" s="194"/>
      <c r="S206" s="194"/>
      <c r="T206" s="194"/>
      <c r="U206" s="194"/>
      <c r="V206" s="194"/>
      <c r="W206" s="194"/>
      <c r="X206" s="194"/>
      <c r="Y206" s="194"/>
      <c r="Z206" s="194"/>
      <c r="AA206" s="194"/>
      <c r="AB206" s="194"/>
      <c r="AC206" s="194"/>
      <c r="AD206" s="194"/>
      <c r="AE206" s="194"/>
      <c r="AF206" s="194"/>
      <c r="AG206" s="194"/>
      <c r="AH206" s="194"/>
      <c r="AI206" s="194"/>
      <c r="AJ206" s="194"/>
      <c r="AK206" s="194"/>
      <c r="AL206" s="194"/>
      <c r="AM206" s="194"/>
      <c r="AN206" s="194"/>
      <c r="AO206" s="194"/>
      <c r="AP206" s="194"/>
      <c r="AQ206" s="194"/>
      <c r="AR206" s="194"/>
      <c r="AS206" s="194"/>
      <c r="AT206" s="194"/>
      <c r="AU206" s="194"/>
      <c r="AV206" s="194"/>
      <c r="AW206" s="194"/>
      <c r="AX206" s="194"/>
      <c r="AY206" s="194"/>
    </row>
    <row r="207" spans="2:51" ht="18">
      <c r="B207" s="93" t="s">
        <v>354</v>
      </c>
      <c r="C207" s="195" t="s">
        <v>1210</v>
      </c>
      <c r="D207" s="195" t="s">
        <v>194</v>
      </c>
      <c r="E207" s="96" t="s">
        <v>413</v>
      </c>
      <c r="Q207" s="194"/>
      <c r="R207" s="194"/>
      <c r="S207" s="194"/>
      <c r="T207" s="194"/>
      <c r="U207" s="194"/>
      <c r="V207" s="194"/>
      <c r="W207" s="194"/>
      <c r="X207" s="194"/>
      <c r="Y207" s="194"/>
      <c r="Z207" s="194"/>
      <c r="AA207" s="194"/>
      <c r="AB207" s="194"/>
      <c r="AC207" s="194"/>
      <c r="AD207" s="194"/>
      <c r="AE207" s="194"/>
      <c r="AF207" s="194"/>
      <c r="AG207" s="194"/>
      <c r="AH207" s="194"/>
      <c r="AI207" s="194"/>
      <c r="AJ207" s="194"/>
      <c r="AK207" s="194"/>
      <c r="AL207" s="194"/>
      <c r="AM207" s="194"/>
      <c r="AN207" s="194"/>
      <c r="AO207" s="194"/>
      <c r="AP207" s="194"/>
      <c r="AQ207" s="194"/>
      <c r="AR207" s="194"/>
      <c r="AS207" s="194"/>
      <c r="AT207" s="194"/>
      <c r="AU207" s="194"/>
      <c r="AV207" s="194"/>
      <c r="AW207" s="194"/>
      <c r="AX207" s="194"/>
      <c r="AY207" s="194"/>
    </row>
    <row r="208" spans="2:51" ht="18">
      <c r="B208" s="1028" t="s">
        <v>1870</v>
      </c>
      <c r="C208" s="1029" t="s">
        <v>1871</v>
      </c>
      <c r="D208" s="196" t="s">
        <v>1510</v>
      </c>
      <c r="E208" s="94">
        <v>8.5500000000000003E-3</v>
      </c>
      <c r="Q208" s="195" t="s">
        <v>354</v>
      </c>
      <c r="R208" s="195" t="s">
        <v>369</v>
      </c>
      <c r="S208" s="195" t="s">
        <v>194</v>
      </c>
      <c r="T208" s="196" t="s">
        <v>413</v>
      </c>
      <c r="U208" s="196" t="s">
        <v>414</v>
      </c>
      <c r="V208" s="196" t="s">
        <v>415</v>
      </c>
      <c r="W208" s="196" t="s">
        <v>416</v>
      </c>
      <c r="X208" s="194"/>
      <c r="Y208" s="194"/>
      <c r="Z208" s="194"/>
      <c r="AA208" s="194"/>
      <c r="AB208" s="194"/>
      <c r="AC208" s="194"/>
      <c r="AD208" s="194"/>
      <c r="AE208" s="194"/>
      <c r="AF208" s="194"/>
      <c r="AG208" s="194"/>
      <c r="AH208" s="194"/>
      <c r="AI208" s="194"/>
      <c r="AJ208" s="194"/>
      <c r="AK208" s="194"/>
      <c r="AL208" s="194"/>
      <c r="AM208" s="194"/>
      <c r="AN208" s="194"/>
      <c r="AO208" s="194"/>
      <c r="AP208" s="194"/>
      <c r="AQ208" s="194"/>
      <c r="AR208" s="194"/>
      <c r="AS208" s="194"/>
      <c r="AT208" s="194"/>
      <c r="AU208" s="194"/>
      <c r="AV208" s="194"/>
      <c r="AW208" s="194"/>
      <c r="AX208" s="194"/>
      <c r="AY208" s="194"/>
    </row>
    <row r="209" spans="2:51">
      <c r="B209" s="1028"/>
      <c r="C209" s="1029"/>
      <c r="D209" s="196" t="s">
        <v>1465</v>
      </c>
      <c r="E209" s="94">
        <v>0.40148</v>
      </c>
      <c r="Q209" s="1029" t="s">
        <v>389</v>
      </c>
      <c r="R209" s="1029" t="s">
        <v>390</v>
      </c>
      <c r="S209" s="196" t="s">
        <v>384</v>
      </c>
      <c r="T209" s="197">
        <v>8.4449999999999997E-2</v>
      </c>
      <c r="U209" s="197">
        <v>8.2409999999999997E-2</v>
      </c>
      <c r="V209" s="197">
        <v>1.74E-3</v>
      </c>
      <c r="W209" s="197">
        <v>2.9999999999999997E-4</v>
      </c>
      <c r="X209" s="194"/>
      <c r="Y209" s="194"/>
      <c r="Z209" s="194"/>
      <c r="AA209" s="194"/>
      <c r="AB209" s="194"/>
      <c r="AC209" s="194"/>
      <c r="AD209" s="194"/>
      <c r="AE209" s="194"/>
      <c r="AF209" s="194"/>
      <c r="AG209" s="194"/>
      <c r="AH209" s="194"/>
      <c r="AI209" s="194"/>
      <c r="AJ209" s="194"/>
      <c r="AK209" s="194"/>
      <c r="AL209" s="194"/>
      <c r="AM209" s="194"/>
      <c r="AN209" s="194"/>
      <c r="AO209" s="194"/>
      <c r="AP209" s="194"/>
      <c r="AQ209" s="194"/>
      <c r="AR209" s="194"/>
      <c r="AS209" s="194"/>
      <c r="AT209" s="194"/>
      <c r="AU209" s="194"/>
      <c r="AV209" s="194"/>
      <c r="AW209" s="194"/>
      <c r="AX209" s="194"/>
      <c r="AY209" s="194"/>
    </row>
    <row r="210" spans="2:51">
      <c r="B210" s="1028"/>
      <c r="C210" s="1029"/>
      <c r="D210" s="196" t="s">
        <v>96</v>
      </c>
      <c r="E210" s="94">
        <v>1.076E-2</v>
      </c>
      <c r="Q210" s="1029"/>
      <c r="R210" s="1029"/>
      <c r="S210" s="196" t="s">
        <v>385</v>
      </c>
      <c r="T210" s="197">
        <v>0.13591</v>
      </c>
      <c r="U210" s="197">
        <v>0.13263</v>
      </c>
      <c r="V210" s="197">
        <v>2.8E-3</v>
      </c>
      <c r="W210" s="197">
        <v>4.8000000000000001E-4</v>
      </c>
      <c r="X210" s="194"/>
      <c r="Y210" s="194"/>
      <c r="Z210" s="194"/>
      <c r="AA210" s="194"/>
      <c r="AB210" s="194"/>
      <c r="AC210" s="194"/>
      <c r="AD210" s="194"/>
      <c r="AE210" s="194"/>
      <c r="AF210" s="194"/>
      <c r="AG210" s="194"/>
      <c r="AH210" s="194"/>
      <c r="AI210" s="194"/>
      <c r="AJ210" s="194"/>
      <c r="AK210" s="194"/>
      <c r="AL210" s="194"/>
      <c r="AM210" s="194"/>
      <c r="AN210" s="194"/>
      <c r="AO210" s="194"/>
      <c r="AP210" s="194"/>
      <c r="AQ210" s="194"/>
      <c r="AR210" s="194"/>
      <c r="AS210" s="194"/>
      <c r="AT210" s="194"/>
      <c r="AU210" s="194"/>
      <c r="AV210" s="194"/>
      <c r="AW210" s="194"/>
      <c r="AX210" s="194"/>
      <c r="AY210" s="194"/>
    </row>
    <row r="211" spans="2:51">
      <c r="B211" s="1028"/>
      <c r="C211" s="1029" t="s">
        <v>1516</v>
      </c>
      <c r="D211" s="196" t="s">
        <v>1510</v>
      </c>
      <c r="E211" s="94">
        <v>3.1780000000000003E-2</v>
      </c>
      <c r="Q211" s="1029"/>
      <c r="R211" s="1029" t="s">
        <v>391</v>
      </c>
      <c r="S211" s="196" t="s">
        <v>384</v>
      </c>
      <c r="T211" s="197">
        <v>0.10289000000000001</v>
      </c>
      <c r="U211" s="197">
        <v>0.10004</v>
      </c>
      <c r="V211" s="197">
        <v>2.2499999999999998E-3</v>
      </c>
      <c r="W211" s="197">
        <v>5.9999999999999995E-4</v>
      </c>
      <c r="X211" s="194"/>
      <c r="Y211" s="194"/>
      <c r="Z211" s="194"/>
      <c r="AA211" s="194"/>
      <c r="AB211" s="194"/>
      <c r="AC211" s="194"/>
      <c r="AD211" s="194"/>
      <c r="AE211" s="194"/>
      <c r="AF211" s="194"/>
      <c r="AG211" s="194"/>
      <c r="AH211" s="194"/>
      <c r="AI211" s="194"/>
      <c r="AJ211" s="194"/>
      <c r="AK211" s="194"/>
      <c r="AL211" s="194"/>
      <c r="AM211" s="194"/>
      <c r="AN211" s="194"/>
      <c r="AO211" s="194"/>
      <c r="AP211" s="194"/>
      <c r="AQ211" s="194"/>
      <c r="AR211" s="194"/>
      <c r="AS211" s="194"/>
      <c r="AT211" s="194"/>
      <c r="AU211" s="194"/>
      <c r="AV211" s="194"/>
      <c r="AW211" s="194"/>
      <c r="AX211" s="194"/>
      <c r="AY211" s="194"/>
    </row>
    <row r="212" spans="2:51">
      <c r="B212" s="1028"/>
      <c r="C212" s="1029"/>
      <c r="D212" s="196" t="s">
        <v>1465</v>
      </c>
      <c r="E212" s="94">
        <v>0.96014999999999995</v>
      </c>
      <c r="Q212" s="1029"/>
      <c r="R212" s="1029"/>
      <c r="S212" s="196" t="s">
        <v>385</v>
      </c>
      <c r="T212" s="197">
        <v>0.16559000000000001</v>
      </c>
      <c r="U212" s="179">
        <v>0.161</v>
      </c>
      <c r="V212" s="197">
        <v>3.62E-3</v>
      </c>
      <c r="W212" s="197">
        <v>9.7000000000000005E-4</v>
      </c>
      <c r="X212" s="194"/>
      <c r="Y212" s="194"/>
      <c r="Z212" s="194"/>
      <c r="AA212" s="194"/>
      <c r="AB212" s="194"/>
      <c r="AC212" s="194"/>
      <c r="AD212" s="194"/>
      <c r="AE212" s="194"/>
      <c r="AF212" s="194"/>
      <c r="AG212" s="194"/>
      <c r="AH212" s="194"/>
      <c r="AI212" s="194"/>
      <c r="AJ212" s="194"/>
      <c r="AK212" s="194"/>
      <c r="AL212" s="194"/>
      <c r="AM212" s="194"/>
      <c r="AN212" s="194"/>
      <c r="AO212" s="194"/>
      <c r="AP212" s="194"/>
      <c r="AQ212" s="194"/>
      <c r="AR212" s="194"/>
      <c r="AS212" s="194"/>
      <c r="AT212" s="194"/>
      <c r="AU212" s="194"/>
      <c r="AV212" s="194"/>
      <c r="AW212" s="194"/>
      <c r="AX212" s="194"/>
      <c r="AY212" s="194"/>
    </row>
    <row r="213" spans="2:51">
      <c r="B213" s="1028"/>
      <c r="C213" s="1029"/>
      <c r="D213" s="196" t="s">
        <v>96</v>
      </c>
      <c r="E213" s="94">
        <v>3.5720000000000002E-2</v>
      </c>
      <c r="Q213" s="1029"/>
      <c r="R213" s="1029" t="s">
        <v>392</v>
      </c>
      <c r="S213" s="196" t="s">
        <v>384</v>
      </c>
      <c r="T213" s="197">
        <v>0.13500999999999999</v>
      </c>
      <c r="U213" s="197">
        <v>0.13308</v>
      </c>
      <c r="V213" s="197">
        <v>1.33E-3</v>
      </c>
      <c r="W213" s="197">
        <v>5.9999999999999995E-4</v>
      </c>
      <c r="X213" s="194"/>
      <c r="Y213" s="194"/>
      <c r="Z213" s="194"/>
      <c r="AA213" s="194"/>
      <c r="AB213" s="194"/>
      <c r="AC213" s="194"/>
      <c r="AD213" s="194"/>
      <c r="AE213" s="194"/>
      <c r="AF213" s="194"/>
      <c r="AG213" s="194"/>
      <c r="AH213" s="194"/>
      <c r="AI213" s="194"/>
      <c r="AJ213" s="194"/>
      <c r="AK213" s="194"/>
      <c r="AL213" s="194"/>
      <c r="AM213" s="194"/>
      <c r="AN213" s="194"/>
      <c r="AO213" s="194"/>
      <c r="AP213" s="194"/>
      <c r="AQ213" s="194"/>
      <c r="AR213" s="194"/>
      <c r="AS213" s="194"/>
      <c r="AT213" s="194"/>
      <c r="AU213" s="194"/>
      <c r="AV213" s="194"/>
      <c r="AW213" s="194"/>
      <c r="AX213" s="194"/>
      <c r="AY213" s="194"/>
    </row>
    <row r="214" spans="2:51">
      <c r="B214" s="1028"/>
      <c r="C214" s="1029" t="s">
        <v>1872</v>
      </c>
      <c r="D214" s="196" t="s">
        <v>1510</v>
      </c>
      <c r="E214" s="97"/>
      <c r="Q214" s="1029"/>
      <c r="R214" s="1029"/>
      <c r="S214" s="196" t="s">
        <v>385</v>
      </c>
      <c r="T214" s="197">
        <v>0.21729000000000001</v>
      </c>
      <c r="U214" s="197">
        <v>0.21418000000000001</v>
      </c>
      <c r="V214" s="197">
        <v>2.14E-3</v>
      </c>
      <c r="W214" s="197">
        <v>9.7000000000000005E-4</v>
      </c>
      <c r="X214" s="194"/>
      <c r="Y214" s="194"/>
      <c r="Z214" s="194"/>
      <c r="AA214" s="194"/>
      <c r="AB214" s="194"/>
      <c r="AC214" s="194"/>
      <c r="AD214" s="194"/>
      <c r="AE214" s="194"/>
      <c r="AF214" s="194"/>
      <c r="AG214" s="194"/>
      <c r="AH214" s="194"/>
      <c r="AI214" s="194"/>
      <c r="AJ214" s="194"/>
      <c r="AK214" s="194"/>
      <c r="AL214" s="194"/>
      <c r="AM214" s="194"/>
      <c r="AN214" s="194"/>
      <c r="AO214" s="194"/>
      <c r="AP214" s="194"/>
      <c r="AQ214" s="194"/>
      <c r="AR214" s="194"/>
      <c r="AS214" s="194"/>
      <c r="AT214" s="194"/>
      <c r="AU214" s="194"/>
      <c r="AV214" s="194"/>
      <c r="AW214" s="194"/>
      <c r="AX214" s="194"/>
      <c r="AY214" s="194"/>
    </row>
    <row r="215" spans="2:51">
      <c r="B215" s="1028"/>
      <c r="C215" s="1029"/>
      <c r="D215" s="196" t="s">
        <v>1465</v>
      </c>
      <c r="E215" s="94">
        <v>0.10433000000000001</v>
      </c>
      <c r="Q215" s="1029"/>
      <c r="R215" s="1029" t="s">
        <v>393</v>
      </c>
      <c r="S215" s="196" t="s">
        <v>384</v>
      </c>
      <c r="T215" s="197">
        <v>0.11551</v>
      </c>
      <c r="U215" s="197">
        <v>0.11314</v>
      </c>
      <c r="V215" s="197">
        <v>1.7799999999999999E-3</v>
      </c>
      <c r="W215" s="197">
        <v>5.9000000000000003E-4</v>
      </c>
      <c r="X215" s="194"/>
      <c r="Y215" s="194"/>
      <c r="Z215" s="194"/>
      <c r="AA215" s="194"/>
      <c r="AB215" s="194"/>
      <c r="AC215" s="194"/>
      <c r="AD215" s="194"/>
      <c r="AE215" s="194"/>
      <c r="AF215" s="194"/>
      <c r="AG215" s="194"/>
      <c r="AH215" s="194"/>
      <c r="AI215" s="194"/>
      <c r="AJ215" s="194"/>
      <c r="AK215" s="194"/>
      <c r="AL215" s="194"/>
      <c r="AM215" s="194"/>
      <c r="AN215" s="194"/>
      <c r="AO215" s="194"/>
      <c r="AP215" s="194"/>
      <c r="AQ215" s="194"/>
      <c r="AR215" s="194"/>
      <c r="AS215" s="194"/>
      <c r="AT215" s="194"/>
      <c r="AU215" s="194"/>
      <c r="AV215" s="194"/>
      <c r="AW215" s="194"/>
      <c r="AX215" s="194"/>
      <c r="AY215" s="194"/>
    </row>
    <row r="216" spans="2:51">
      <c r="B216" s="1028"/>
      <c r="C216" s="1029"/>
      <c r="D216" s="196" t="s">
        <v>96</v>
      </c>
      <c r="E216" s="94">
        <v>5.11E-3</v>
      </c>
      <c r="Q216" s="1029"/>
      <c r="R216" s="1029"/>
      <c r="S216" s="196" t="s">
        <v>385</v>
      </c>
      <c r="T216" s="197">
        <v>0.18589</v>
      </c>
      <c r="U216" s="197">
        <v>0.18207999999999999</v>
      </c>
      <c r="V216" s="197">
        <v>2.8600000000000001E-3</v>
      </c>
      <c r="W216" s="197">
        <v>9.5E-4</v>
      </c>
      <c r="X216" s="194"/>
      <c r="Y216" s="194"/>
      <c r="Z216" s="194"/>
      <c r="AA216" s="194"/>
      <c r="AB216" s="194"/>
      <c r="AC216" s="194"/>
      <c r="AD216" s="194"/>
      <c r="AE216" s="194"/>
      <c r="AF216" s="194"/>
      <c r="AG216" s="194"/>
      <c r="AH216" s="194"/>
      <c r="AI216" s="194"/>
      <c r="AJ216" s="194"/>
      <c r="AK216" s="194"/>
      <c r="AL216" s="194"/>
      <c r="AM216" s="194"/>
      <c r="AN216" s="194"/>
      <c r="AO216" s="194"/>
      <c r="AP216" s="194"/>
      <c r="AQ216" s="194"/>
      <c r="AR216" s="194"/>
      <c r="AS216" s="194"/>
      <c r="AT216" s="194"/>
      <c r="AU216" s="194"/>
      <c r="AV216" s="194"/>
      <c r="AW216" s="194"/>
      <c r="AX216" s="194"/>
      <c r="AY216" s="194"/>
    </row>
    <row r="217" spans="2:51">
      <c r="B217" s="1028"/>
      <c r="C217" s="1030" t="s">
        <v>1873</v>
      </c>
      <c r="D217" s="196" t="s">
        <v>1510</v>
      </c>
      <c r="E217" s="94">
        <v>3.1780000000000003E-2</v>
      </c>
    </row>
    <row r="218" spans="2:51">
      <c r="B218" s="1028"/>
      <c r="C218" s="1030"/>
      <c r="D218" s="196" t="s">
        <v>1465</v>
      </c>
      <c r="E218" s="94">
        <v>0.96014999999999995</v>
      </c>
    </row>
    <row r="219" spans="2:51">
      <c r="B219" s="1028"/>
      <c r="C219" s="1030"/>
      <c r="D219" s="196" t="s">
        <v>96</v>
      </c>
      <c r="E219" s="94">
        <v>3.5720000000000002E-2</v>
      </c>
      <c r="Q219" s="180"/>
      <c r="R219" s="180"/>
      <c r="S219" s="180"/>
      <c r="T219" s="180"/>
      <c r="U219" s="1041" t="s">
        <v>353</v>
      </c>
      <c r="V219" s="1042"/>
      <c r="W219" s="1042"/>
      <c r="X219" s="1043"/>
      <c r="Y219" s="1044" t="s">
        <v>424</v>
      </c>
      <c r="Z219" s="1042"/>
      <c r="AA219" s="1042"/>
      <c r="AB219" s="1045"/>
    </row>
    <row r="220" spans="2:51" ht="18">
      <c r="B220" s="1028"/>
      <c r="C220" s="1030" t="s">
        <v>1874</v>
      </c>
      <c r="D220" s="196" t="s">
        <v>1510</v>
      </c>
      <c r="E220" s="94">
        <v>3.1780000000000003E-2</v>
      </c>
      <c r="Q220" s="183" t="s">
        <v>354</v>
      </c>
      <c r="R220" s="184" t="s">
        <v>355</v>
      </c>
      <c r="S220" s="184" t="s">
        <v>356</v>
      </c>
      <c r="T220" s="187" t="s">
        <v>194</v>
      </c>
      <c r="U220" s="190" t="s">
        <v>413</v>
      </c>
      <c r="V220" s="181" t="s">
        <v>414</v>
      </c>
      <c r="W220" s="181" t="s">
        <v>415</v>
      </c>
      <c r="X220" s="192" t="s">
        <v>416</v>
      </c>
      <c r="Y220" s="182" t="s">
        <v>413</v>
      </c>
      <c r="Z220" s="181" t="s">
        <v>414</v>
      </c>
      <c r="AA220" s="181" t="s">
        <v>415</v>
      </c>
      <c r="AB220" s="185" t="s">
        <v>416</v>
      </c>
    </row>
    <row r="221" spans="2:51" ht="60">
      <c r="B221" s="1028"/>
      <c r="C221" s="1030"/>
      <c r="D221" s="196" t="s">
        <v>1465</v>
      </c>
      <c r="E221" s="94">
        <v>0.96014999999999995</v>
      </c>
      <c r="Q221" s="1046" t="s">
        <v>358</v>
      </c>
      <c r="R221" s="181" t="s">
        <v>359</v>
      </c>
      <c r="S221" s="181" t="s">
        <v>360</v>
      </c>
      <c r="T221" s="188" t="s">
        <v>361</v>
      </c>
      <c r="U221" s="191">
        <v>0.25492999999999999</v>
      </c>
      <c r="V221" s="191">
        <v>0.25355</v>
      </c>
      <c r="W221" s="191">
        <v>1.2E-4</v>
      </c>
      <c r="X221" s="191">
        <v>1.2600000000000001E-3</v>
      </c>
      <c r="Y221" s="191">
        <v>0.13483000000000003</v>
      </c>
      <c r="Z221" s="191">
        <v>0.13345000000000001</v>
      </c>
      <c r="AA221" s="191">
        <v>1.2E-4</v>
      </c>
      <c r="AB221" s="191">
        <v>1.2600000000000001E-3</v>
      </c>
    </row>
    <row r="222" spans="2:51" ht="45">
      <c r="B222" s="1028"/>
      <c r="C222" s="1030"/>
      <c r="D222" s="196" t="s">
        <v>96</v>
      </c>
      <c r="E222" s="94">
        <v>3.5720000000000002E-2</v>
      </c>
      <c r="Q222" s="1046"/>
      <c r="R222" s="1028" t="s">
        <v>362</v>
      </c>
      <c r="S222" s="181" t="s">
        <v>360</v>
      </c>
      <c r="T222" s="188" t="s">
        <v>361</v>
      </c>
      <c r="U222" s="191">
        <v>0.15832000000000002</v>
      </c>
      <c r="V222" s="191">
        <v>0.15753</v>
      </c>
      <c r="W222" s="191">
        <v>1.0000000000000001E-5</v>
      </c>
      <c r="X222" s="191">
        <v>7.7999999999999999E-4</v>
      </c>
      <c r="Y222" s="191">
        <v>8.3699999999999997E-2</v>
      </c>
      <c r="Z222" s="191">
        <v>8.2909999999999998E-2</v>
      </c>
      <c r="AA222" s="191">
        <v>1.0000000000000001E-5</v>
      </c>
      <c r="AB222" s="191">
        <v>7.7999999999999999E-4</v>
      </c>
    </row>
    <row r="223" spans="2:51" ht="30">
      <c r="B223" s="180"/>
      <c r="C223" s="194"/>
      <c r="D223" s="194"/>
      <c r="E223" s="95"/>
      <c r="Q223" s="1046"/>
      <c r="R223" s="1028"/>
      <c r="S223" s="181" t="s">
        <v>363</v>
      </c>
      <c r="T223" s="188" t="s">
        <v>361</v>
      </c>
      <c r="U223" s="191">
        <v>0.15573000000000001</v>
      </c>
      <c r="V223" s="191">
        <v>0.15495</v>
      </c>
      <c r="W223" s="191">
        <v>1.0000000000000001E-5</v>
      </c>
      <c r="X223" s="191">
        <v>7.6999999999999996E-4</v>
      </c>
      <c r="Y223" s="191">
        <v>8.233E-2</v>
      </c>
      <c r="Z223" s="191">
        <v>8.1549999999999997E-2</v>
      </c>
      <c r="AA223" s="191">
        <v>1.0000000000000001E-5</v>
      </c>
      <c r="AB223" s="191">
        <v>7.6999999999999996E-4</v>
      </c>
    </row>
    <row r="224" spans="2:51" ht="30">
      <c r="B224" s="180"/>
      <c r="C224" s="194"/>
      <c r="D224" s="194"/>
      <c r="E224" s="95"/>
      <c r="Q224" s="1046"/>
      <c r="R224" s="1028"/>
      <c r="S224" s="181" t="s">
        <v>364</v>
      </c>
      <c r="T224" s="188" t="s">
        <v>361</v>
      </c>
      <c r="U224" s="191">
        <v>0.2336</v>
      </c>
      <c r="V224" s="191">
        <v>0.23243</v>
      </c>
      <c r="W224" s="191">
        <v>1.0000000000000001E-5</v>
      </c>
      <c r="X224" s="191">
        <v>1.16E-3</v>
      </c>
      <c r="Y224" s="191">
        <v>0.12349999999999998</v>
      </c>
      <c r="Z224" s="191">
        <v>0.12232999999999999</v>
      </c>
      <c r="AA224" s="191">
        <v>1.0000000000000001E-5</v>
      </c>
      <c r="AB224" s="191">
        <v>1.16E-3</v>
      </c>
    </row>
    <row r="225" spans="2:28" ht="45">
      <c r="B225" s="180"/>
      <c r="C225" s="194"/>
      <c r="D225" s="194"/>
      <c r="E225" s="95"/>
      <c r="Q225" s="1046"/>
      <c r="R225" s="1028" t="s">
        <v>365</v>
      </c>
      <c r="S225" s="181" t="s">
        <v>360</v>
      </c>
      <c r="T225" s="188" t="s">
        <v>361</v>
      </c>
      <c r="U225" s="191">
        <v>0.19562000000000002</v>
      </c>
      <c r="V225" s="193">
        <v>0.19464000000000001</v>
      </c>
      <c r="W225" s="191">
        <v>1.0000000000000001E-5</v>
      </c>
      <c r="X225" s="191">
        <v>9.7000000000000005E-4</v>
      </c>
      <c r="Y225" s="191">
        <v>0.10342</v>
      </c>
      <c r="Z225" s="191">
        <v>0.10244</v>
      </c>
      <c r="AA225" s="191">
        <v>1.0000000000000001E-5</v>
      </c>
      <c r="AB225" s="191">
        <v>9.7000000000000005E-4</v>
      </c>
    </row>
    <row r="226" spans="2:28" ht="31.5">
      <c r="B226" s="93" t="s">
        <v>354</v>
      </c>
      <c r="C226" s="195" t="s">
        <v>1210</v>
      </c>
      <c r="D226" s="195" t="s">
        <v>194</v>
      </c>
      <c r="E226" s="98" t="s">
        <v>413</v>
      </c>
      <c r="Q226" s="1046"/>
      <c r="R226" s="1028"/>
      <c r="S226" s="181" t="s">
        <v>363</v>
      </c>
      <c r="T226" s="188" t="s">
        <v>361</v>
      </c>
      <c r="U226" s="191">
        <v>0.14981</v>
      </c>
      <c r="V226" s="191">
        <v>0.14906</v>
      </c>
      <c r="W226" s="191">
        <v>1.0000000000000001E-5</v>
      </c>
      <c r="X226" s="191">
        <v>7.3999999999999999E-4</v>
      </c>
      <c r="Y226" s="191">
        <v>7.9200000000000007E-2</v>
      </c>
      <c r="Z226" s="191">
        <v>7.8450000000000006E-2</v>
      </c>
      <c r="AA226" s="191">
        <v>1.0000000000000001E-5</v>
      </c>
      <c r="AB226" s="191">
        <v>7.3999999999999999E-4</v>
      </c>
    </row>
    <row r="227" spans="2:28" ht="60">
      <c r="B227" s="1028" t="s">
        <v>1875</v>
      </c>
      <c r="C227" s="1029" t="s">
        <v>1876</v>
      </c>
      <c r="D227" s="196" t="s">
        <v>1804</v>
      </c>
      <c r="E227" s="99">
        <v>63.846829999999997</v>
      </c>
      <c r="Q227" s="1046"/>
      <c r="R227" s="1028"/>
      <c r="S227" s="181" t="s">
        <v>366</v>
      </c>
      <c r="T227" s="188" t="s">
        <v>361</v>
      </c>
      <c r="U227" s="191">
        <v>0.2397</v>
      </c>
      <c r="V227" s="191">
        <v>0.23849999999999999</v>
      </c>
      <c r="W227" s="191">
        <v>1.0000000000000001E-5</v>
      </c>
      <c r="X227" s="191">
        <v>1.1900000000000001E-3</v>
      </c>
      <c r="Y227" s="191">
        <v>0.12673000000000001</v>
      </c>
      <c r="Z227" s="191">
        <v>0.12553</v>
      </c>
      <c r="AA227" s="191">
        <v>1.0000000000000001E-5</v>
      </c>
      <c r="AB227" s="191">
        <v>1.1900000000000001E-3</v>
      </c>
    </row>
    <row r="228" spans="2:28" ht="30">
      <c r="B228" s="1028"/>
      <c r="C228" s="1029"/>
      <c r="D228" s="196" t="s">
        <v>101</v>
      </c>
      <c r="E228" s="99">
        <v>1.5630000000000002E-2</v>
      </c>
      <c r="Q228" s="1046"/>
      <c r="R228" s="1028"/>
      <c r="S228" s="181" t="s">
        <v>364</v>
      </c>
      <c r="T228" s="188" t="s">
        <v>361</v>
      </c>
      <c r="U228" s="191">
        <v>0.43446000000000001</v>
      </c>
      <c r="V228" s="191">
        <v>0.43229000000000001</v>
      </c>
      <c r="W228" s="191">
        <v>2.0000000000000002E-5</v>
      </c>
      <c r="X228" s="191">
        <v>2.15E-3</v>
      </c>
      <c r="Y228" s="191">
        <v>0.22969000000000001</v>
      </c>
      <c r="Z228" s="191">
        <v>0.22752</v>
      </c>
      <c r="AA228" s="191">
        <v>2.0000000000000002E-5</v>
      </c>
      <c r="AB228" s="191">
        <v>2.15E-3</v>
      </c>
    </row>
    <row r="229" spans="2:28" ht="30">
      <c r="B229" s="1028"/>
      <c r="C229" s="1029" t="s">
        <v>1877</v>
      </c>
      <c r="D229" s="196" t="s">
        <v>1804</v>
      </c>
      <c r="E229" s="99">
        <v>59.029020000000003</v>
      </c>
      <c r="Q229" s="1046"/>
      <c r="R229" s="1028"/>
      <c r="S229" s="181" t="s">
        <v>367</v>
      </c>
      <c r="T229" s="188" t="s">
        <v>361</v>
      </c>
      <c r="U229" s="191">
        <v>0.59925000000000006</v>
      </c>
      <c r="V229" s="191">
        <v>0.59626000000000001</v>
      </c>
      <c r="W229" s="191">
        <v>2.0000000000000002E-5</v>
      </c>
      <c r="X229" s="191">
        <v>2.97E-3</v>
      </c>
      <c r="Y229" s="191">
        <v>0.31680999999999998</v>
      </c>
      <c r="Z229" s="191">
        <v>0.31381999999999999</v>
      </c>
      <c r="AA229" s="191">
        <v>2.0000000000000002E-5</v>
      </c>
      <c r="AB229" s="191">
        <v>2.97E-3</v>
      </c>
    </row>
    <row r="230" spans="2:28" ht="45">
      <c r="B230" s="1028"/>
      <c r="C230" s="1029"/>
      <c r="D230" s="196" t="s">
        <v>101</v>
      </c>
      <c r="E230" s="99">
        <v>1.5630000000000002E-2</v>
      </c>
      <c r="Q230" s="1046"/>
      <c r="R230" s="1028" t="s">
        <v>368</v>
      </c>
      <c r="S230" s="181" t="s">
        <v>360</v>
      </c>
      <c r="T230" s="188" t="s">
        <v>361</v>
      </c>
      <c r="U230" s="191">
        <v>0.18078000000000002</v>
      </c>
      <c r="V230" s="191">
        <v>0.17987</v>
      </c>
      <c r="W230" s="191">
        <v>1.0000000000000001E-5</v>
      </c>
      <c r="X230" s="191">
        <v>8.9999999999999998E-4</v>
      </c>
      <c r="Y230" s="191">
        <v>9.5579999999999998E-2</v>
      </c>
      <c r="Z230" s="191">
        <v>9.4670000000000004E-2</v>
      </c>
      <c r="AA230" s="191">
        <v>1.0000000000000001E-5</v>
      </c>
      <c r="AB230" s="191">
        <v>8.9999999999999998E-4</v>
      </c>
    </row>
    <row r="231" spans="2:28" ht="30">
      <c r="B231" s="1028"/>
      <c r="C231" s="1029" t="s">
        <v>1878</v>
      </c>
      <c r="D231" s="196" t="s">
        <v>1804</v>
      </c>
      <c r="E231" s="99">
        <v>73.135230000000007</v>
      </c>
      <c r="Q231" s="1046"/>
      <c r="R231" s="1028"/>
      <c r="S231" s="181" t="s">
        <v>363</v>
      </c>
      <c r="T231" s="188" t="s">
        <v>361</v>
      </c>
      <c r="U231" s="191">
        <v>0.13844530000000002</v>
      </c>
      <c r="V231" s="191">
        <v>0.13775000000000001</v>
      </c>
      <c r="W231" s="191">
        <v>5.3000000000000001E-6</v>
      </c>
      <c r="X231" s="191">
        <v>6.8999999999999997E-4</v>
      </c>
      <c r="Y231" s="191">
        <v>7.3195299999999991E-2</v>
      </c>
      <c r="Z231" s="191">
        <v>7.2499999999999995E-2</v>
      </c>
      <c r="AA231" s="191">
        <v>5.3000000000000001E-6</v>
      </c>
      <c r="AB231" s="191">
        <v>6.8999999999999997E-4</v>
      </c>
    </row>
    <row r="232" spans="2:28" ht="60">
      <c r="B232" s="1028"/>
      <c r="C232" s="1029"/>
      <c r="D232" s="196" t="s">
        <v>101</v>
      </c>
      <c r="E232" s="99">
        <v>1.5630000000000002E-2</v>
      </c>
      <c r="Q232" s="1046"/>
      <c r="R232" s="1028"/>
      <c r="S232" s="181" t="s">
        <v>366</v>
      </c>
      <c r="T232" s="188" t="s">
        <v>361</v>
      </c>
      <c r="U232" s="191">
        <v>0.22151000000000001</v>
      </c>
      <c r="V232" s="191">
        <v>0.22040000000000001</v>
      </c>
      <c r="W232" s="191">
        <v>1.0000000000000001E-5</v>
      </c>
      <c r="X232" s="191">
        <v>1.1000000000000001E-3</v>
      </c>
      <c r="Y232" s="191">
        <v>0.11711000000000001</v>
      </c>
      <c r="Z232" s="191">
        <v>0.11600000000000001</v>
      </c>
      <c r="AA232" s="191">
        <v>1.0000000000000001E-5</v>
      </c>
      <c r="AB232" s="191">
        <v>1.1000000000000001E-3</v>
      </c>
    </row>
    <row r="233" spans="2:28" ht="30">
      <c r="B233" s="1028"/>
      <c r="C233" s="1029" t="s">
        <v>1879</v>
      </c>
      <c r="D233" s="196" t="s">
        <v>1804</v>
      </c>
      <c r="E233" s="99">
        <v>33.064489999999999</v>
      </c>
      <c r="Q233" s="1046"/>
      <c r="R233" s="1028"/>
      <c r="S233" s="181" t="s">
        <v>364</v>
      </c>
      <c r="T233" s="188" t="s">
        <v>361</v>
      </c>
      <c r="U233" s="191">
        <v>0.40149000000000001</v>
      </c>
      <c r="V233" s="191">
        <v>0.39948</v>
      </c>
      <c r="W233" s="191">
        <v>2.0000000000000002E-5</v>
      </c>
      <c r="X233" s="191">
        <v>1.99E-3</v>
      </c>
      <c r="Y233" s="191">
        <v>0.21225999999999998</v>
      </c>
      <c r="Z233" s="191">
        <v>0.21024999999999999</v>
      </c>
      <c r="AA233" s="191">
        <v>2.0000000000000002E-5</v>
      </c>
      <c r="AB233" s="191">
        <v>1.99E-3</v>
      </c>
    </row>
    <row r="234" spans="2:28" ht="30">
      <c r="B234" s="1028"/>
      <c r="C234" s="1029"/>
      <c r="D234" s="196" t="s">
        <v>101</v>
      </c>
      <c r="E234" s="99">
        <v>9.0900000000000009E-3</v>
      </c>
      <c r="Q234" s="1047"/>
      <c r="R234" s="1048"/>
      <c r="S234" s="186" t="s">
        <v>367</v>
      </c>
      <c r="T234" s="189" t="s">
        <v>361</v>
      </c>
      <c r="U234" s="191">
        <v>0.55376000000000003</v>
      </c>
      <c r="V234" s="191">
        <v>0.55100000000000005</v>
      </c>
      <c r="W234" s="191">
        <v>2.0000000000000002E-5</v>
      </c>
      <c r="X234" s="191">
        <v>2.7399999999999998E-3</v>
      </c>
      <c r="Y234" s="191">
        <v>0.29276000000000002</v>
      </c>
      <c r="Z234" s="191">
        <v>0.28999999999999998</v>
      </c>
      <c r="AA234" s="191">
        <v>2.0000000000000002E-5</v>
      </c>
      <c r="AB234" s="191">
        <v>2.7399999999999998E-3</v>
      </c>
    </row>
    <row r="235" spans="2:28">
      <c r="B235" s="180"/>
      <c r="C235" s="194"/>
      <c r="D235" s="194"/>
      <c r="E235" s="194"/>
    </row>
    <row r="236" spans="2:28">
      <c r="B236" s="180"/>
      <c r="C236" s="194"/>
      <c r="D236" s="194"/>
      <c r="E236" s="194"/>
    </row>
    <row r="237" spans="2:28" ht="18">
      <c r="B237" s="180"/>
      <c r="C237" s="194"/>
      <c r="D237" s="194"/>
      <c r="E237" s="194"/>
      <c r="Q237" s="195" t="s">
        <v>354</v>
      </c>
      <c r="R237" s="195" t="s">
        <v>369</v>
      </c>
      <c r="S237" s="195" t="s">
        <v>194</v>
      </c>
      <c r="T237" s="196" t="s">
        <v>413</v>
      </c>
      <c r="U237" s="196" t="s">
        <v>414</v>
      </c>
      <c r="V237" s="196" t="s">
        <v>415</v>
      </c>
      <c r="W237" s="196" t="s">
        <v>416</v>
      </c>
    </row>
    <row r="238" spans="2:28" ht="18">
      <c r="B238" s="93" t="s">
        <v>354</v>
      </c>
      <c r="C238" s="195" t="s">
        <v>1210</v>
      </c>
      <c r="D238" s="195" t="s">
        <v>194</v>
      </c>
      <c r="E238" s="196" t="s">
        <v>413</v>
      </c>
      <c r="Q238" s="1029" t="s">
        <v>370</v>
      </c>
      <c r="R238" s="196" t="s">
        <v>371</v>
      </c>
      <c r="S238" s="196" t="s">
        <v>361</v>
      </c>
      <c r="T238" s="839">
        <v>1.8737999999999998E-2</v>
      </c>
      <c r="U238" s="839">
        <v>1.848E-2</v>
      </c>
      <c r="V238" s="839">
        <v>6.0000000000000002E-6</v>
      </c>
      <c r="W238" s="839">
        <v>2.52E-4</v>
      </c>
    </row>
    <row r="239" spans="2:28">
      <c r="B239" s="1028" t="s">
        <v>1880</v>
      </c>
      <c r="C239" s="1029" t="s">
        <v>1880</v>
      </c>
      <c r="D239" s="196" t="s">
        <v>1804</v>
      </c>
      <c r="E239" s="99">
        <v>1.1483699999999999</v>
      </c>
      <c r="Q239" s="1029"/>
      <c r="R239" s="196" t="s">
        <v>372</v>
      </c>
      <c r="S239" s="196" t="s">
        <v>361</v>
      </c>
      <c r="T239" s="839">
        <v>0.12951799999999999</v>
      </c>
      <c r="U239" s="839">
        <v>0.12773899999999999</v>
      </c>
      <c r="V239" s="839">
        <v>3.8000000000000002E-5</v>
      </c>
      <c r="W239" s="839">
        <v>1.7409999999999999E-3</v>
      </c>
    </row>
    <row r="240" spans="2:28">
      <c r="B240" s="1028"/>
      <c r="C240" s="1029"/>
      <c r="D240" s="196" t="s">
        <v>101</v>
      </c>
      <c r="E240" s="99">
        <v>2.1000000000000001E-4</v>
      </c>
      <c r="Q240" s="1029"/>
      <c r="R240" s="196" t="s">
        <v>373</v>
      </c>
      <c r="S240" s="196" t="s">
        <v>361</v>
      </c>
      <c r="T240" s="839">
        <v>0.112863</v>
      </c>
      <c r="U240" s="839">
        <v>0.111313</v>
      </c>
      <c r="V240" s="839">
        <v>3.3000000000000003E-5</v>
      </c>
      <c r="W240" s="839">
        <v>1.5169999999999999E-3</v>
      </c>
    </row>
    <row r="241" spans="2:51">
      <c r="B241" s="1028"/>
      <c r="C241" s="1029" t="s">
        <v>1881</v>
      </c>
      <c r="D241" s="196" t="s">
        <v>1804</v>
      </c>
      <c r="E241" s="99">
        <v>0.69342999999999999</v>
      </c>
    </row>
    <row r="242" spans="2:51">
      <c r="B242" s="1028"/>
      <c r="C242" s="1029"/>
      <c r="D242" s="196" t="s">
        <v>101</v>
      </c>
      <c r="E242" s="99">
        <v>2.0000000000000001E-4</v>
      </c>
    </row>
    <row r="243" spans="2:51">
      <c r="Q243" s="194"/>
      <c r="R243" s="194"/>
      <c r="S243" s="194"/>
      <c r="T243" s="1031" t="s">
        <v>374</v>
      </c>
      <c r="U243" s="1031"/>
      <c r="V243" s="1031"/>
      <c r="W243" s="1031"/>
      <c r="X243" s="1031" t="s">
        <v>375</v>
      </c>
      <c r="Y243" s="1031"/>
      <c r="Z243" s="1031"/>
      <c r="AA243" s="1031"/>
      <c r="AB243" s="1031" t="s">
        <v>379</v>
      </c>
      <c r="AC243" s="1031"/>
      <c r="AD243" s="1031"/>
      <c r="AE243" s="1031"/>
      <c r="AF243" s="1031" t="s">
        <v>380</v>
      </c>
      <c r="AG243" s="1031"/>
      <c r="AH243" s="1031"/>
      <c r="AI243" s="1031"/>
      <c r="AJ243" s="1031" t="s">
        <v>381</v>
      </c>
      <c r="AK243" s="1031"/>
      <c r="AL243" s="1031"/>
      <c r="AM243" s="1031"/>
      <c r="AN243" s="194"/>
      <c r="AO243" s="194"/>
      <c r="AP243" s="194"/>
      <c r="AQ243" s="194"/>
      <c r="AR243" s="194"/>
      <c r="AS243" s="194"/>
      <c r="AT243" s="194"/>
      <c r="AU243" s="194"/>
      <c r="AV243" s="194"/>
      <c r="AW243" s="194"/>
      <c r="AX243" s="194"/>
      <c r="AY243" s="194"/>
    </row>
    <row r="244" spans="2:51" ht="18">
      <c r="Q244" s="195" t="s">
        <v>354</v>
      </c>
      <c r="R244" s="195" t="s">
        <v>369</v>
      </c>
      <c r="S244" s="195" t="s">
        <v>194</v>
      </c>
      <c r="T244" s="196" t="s">
        <v>413</v>
      </c>
      <c r="U244" s="196" t="s">
        <v>414</v>
      </c>
      <c r="V244" s="196" t="s">
        <v>415</v>
      </c>
      <c r="W244" s="196" t="s">
        <v>416</v>
      </c>
      <c r="X244" s="196" t="s">
        <v>413</v>
      </c>
      <c r="Y244" s="196" t="s">
        <v>414</v>
      </c>
      <c r="Z244" s="196" t="s">
        <v>415</v>
      </c>
      <c r="AA244" s="196" t="s">
        <v>416</v>
      </c>
      <c r="AB244" s="196" t="s">
        <v>413</v>
      </c>
      <c r="AC244" s="196" t="s">
        <v>414</v>
      </c>
      <c r="AD244" s="196" t="s">
        <v>415</v>
      </c>
      <c r="AE244" s="196" t="s">
        <v>416</v>
      </c>
      <c r="AF244" s="196" t="s">
        <v>413</v>
      </c>
      <c r="AG244" s="196" t="s">
        <v>414</v>
      </c>
      <c r="AH244" s="196" t="s">
        <v>415</v>
      </c>
      <c r="AI244" s="196" t="s">
        <v>416</v>
      </c>
      <c r="AJ244" s="196" t="s">
        <v>413</v>
      </c>
      <c r="AK244" s="196" t="s">
        <v>414</v>
      </c>
      <c r="AL244" s="196" t="s">
        <v>415</v>
      </c>
      <c r="AM244" s="196" t="s">
        <v>416</v>
      </c>
      <c r="AN244" s="194"/>
      <c r="AO244" s="194"/>
      <c r="AP244" s="194"/>
      <c r="AQ244" s="194"/>
      <c r="AR244" s="194"/>
      <c r="AS244" s="194"/>
      <c r="AT244" s="194"/>
      <c r="AU244" s="194"/>
      <c r="AV244" s="194"/>
      <c r="AW244" s="194"/>
      <c r="AX244" s="194"/>
      <c r="AY244" s="194"/>
    </row>
    <row r="245" spans="2:51">
      <c r="Q245" s="1029" t="s">
        <v>1850</v>
      </c>
      <c r="R245" s="1029" t="s">
        <v>1851</v>
      </c>
      <c r="S245" s="196" t="s">
        <v>384</v>
      </c>
      <c r="T245" s="197">
        <v>0.11008999999999999</v>
      </c>
      <c r="U245" s="197">
        <v>0.10825</v>
      </c>
      <c r="V245" s="197">
        <v>4.3200000000000001E-6</v>
      </c>
      <c r="W245" s="197">
        <v>1.8400000000000001E-3</v>
      </c>
      <c r="X245" s="197">
        <v>0.13975000000000001</v>
      </c>
      <c r="Y245" s="197">
        <v>0.13905000000000001</v>
      </c>
      <c r="Z245" s="197">
        <v>3.2000000000000003E-4</v>
      </c>
      <c r="AA245" s="197">
        <v>3.8000000000000002E-4</v>
      </c>
      <c r="AB245" s="197">
        <v>0.13958000000000001</v>
      </c>
      <c r="AC245" s="197">
        <v>0.13886999999999999</v>
      </c>
      <c r="AD245" s="197">
        <v>3.2000000000000003E-4</v>
      </c>
      <c r="AE245" s="197">
        <v>3.8999999999999999E-4</v>
      </c>
      <c r="AF245" s="206" t="s">
        <v>1852</v>
      </c>
      <c r="AG245" s="206" t="s">
        <v>1852</v>
      </c>
      <c r="AH245" s="206" t="s">
        <v>1852</v>
      </c>
      <c r="AI245" s="206" t="s">
        <v>1852</v>
      </c>
      <c r="AJ245" s="206">
        <v>5.2350000000000001E-2</v>
      </c>
      <c r="AK245" s="206">
        <v>5.194E-2</v>
      </c>
      <c r="AL245" s="206">
        <v>1.2999999999999999E-4</v>
      </c>
      <c r="AM245" s="206">
        <v>2.7999999999999998E-4</v>
      </c>
      <c r="AN245" s="194"/>
      <c r="AO245" s="194"/>
      <c r="AP245" s="194"/>
      <c r="AQ245" s="194"/>
      <c r="AR245" s="194"/>
      <c r="AS245" s="194"/>
      <c r="AT245" s="194"/>
      <c r="AU245" s="194"/>
      <c r="AV245" s="194"/>
      <c r="AW245" s="194"/>
      <c r="AX245" s="194"/>
      <c r="AY245" s="194"/>
    </row>
    <row r="246" spans="2:51">
      <c r="Q246" s="1029"/>
      <c r="R246" s="1029"/>
      <c r="S246" s="196" t="s">
        <v>385</v>
      </c>
      <c r="T246" s="197">
        <v>0.17719000000000001</v>
      </c>
      <c r="U246" s="197">
        <v>0.17421</v>
      </c>
      <c r="V246" s="197">
        <v>1.0000000000000001E-5</v>
      </c>
      <c r="W246" s="197">
        <v>2.97E-3</v>
      </c>
      <c r="X246" s="197">
        <v>0.22490000000000002</v>
      </c>
      <c r="Y246" s="197">
        <v>0.22378000000000001</v>
      </c>
      <c r="Z246" s="197">
        <v>5.1000000000000004E-4</v>
      </c>
      <c r="AA246" s="197">
        <v>6.0999999999999997E-4</v>
      </c>
      <c r="AB246" s="197">
        <v>0.22463</v>
      </c>
      <c r="AC246" s="197">
        <v>0.22348999999999999</v>
      </c>
      <c r="AD246" s="197">
        <v>5.1000000000000004E-4</v>
      </c>
      <c r="AE246" s="197">
        <v>6.3000000000000003E-4</v>
      </c>
      <c r="AF246" s="206" t="s">
        <v>1852</v>
      </c>
      <c r="AG246" s="206" t="s">
        <v>1852</v>
      </c>
      <c r="AH246" s="206" t="s">
        <v>1852</v>
      </c>
      <c r="AI246" s="206" t="s">
        <v>1852</v>
      </c>
      <c r="AJ246" s="206">
        <v>8.4250000000000005E-2</v>
      </c>
      <c r="AK246" s="206">
        <v>8.3589999999999998E-2</v>
      </c>
      <c r="AL246" s="206">
        <v>2.1000000000000001E-4</v>
      </c>
      <c r="AM246" s="206">
        <v>4.4999999999999999E-4</v>
      </c>
      <c r="AN246" s="194"/>
      <c r="AO246" s="194"/>
      <c r="AP246" s="194"/>
      <c r="AQ246" s="194"/>
      <c r="AR246" s="194"/>
      <c r="AS246" s="194"/>
      <c r="AT246" s="194"/>
      <c r="AU246" s="194"/>
      <c r="AV246" s="194"/>
      <c r="AW246" s="194"/>
      <c r="AX246" s="194"/>
      <c r="AY246" s="194"/>
    </row>
    <row r="247" spans="2:51">
      <c r="Q247" s="1029"/>
      <c r="R247" s="1029" t="s">
        <v>1854</v>
      </c>
      <c r="S247" s="196" t="s">
        <v>384</v>
      </c>
      <c r="T247" s="197">
        <v>0.13449</v>
      </c>
      <c r="U247" s="197">
        <v>0.13264999999999999</v>
      </c>
      <c r="V247" s="197">
        <v>4.3200000000000001E-6</v>
      </c>
      <c r="W247" s="197">
        <v>1.8400000000000001E-3</v>
      </c>
      <c r="X247" s="197">
        <v>0.15537999999999999</v>
      </c>
      <c r="Y247" s="197">
        <v>0.15468000000000001</v>
      </c>
      <c r="Z247" s="197">
        <v>3.2000000000000003E-4</v>
      </c>
      <c r="AA247" s="197">
        <v>3.8000000000000002E-4</v>
      </c>
      <c r="AB247" s="197">
        <v>0.15240999999999999</v>
      </c>
      <c r="AC247" s="197">
        <v>0.15154999999999999</v>
      </c>
      <c r="AD247" s="197">
        <v>2.7E-4</v>
      </c>
      <c r="AE247" s="197">
        <v>5.9000000000000003E-4</v>
      </c>
      <c r="AF247" s="206">
        <v>7.3470000000000008E-2</v>
      </c>
      <c r="AG247" s="206">
        <v>7.2950000000000001E-2</v>
      </c>
      <c r="AH247" s="206">
        <v>2.0000000000000001E-4</v>
      </c>
      <c r="AI247" s="206">
        <v>3.2000000000000003E-4</v>
      </c>
      <c r="AJ247" s="206">
        <v>4.7880000000000006E-2</v>
      </c>
      <c r="AK247" s="206">
        <v>4.7500000000000001E-2</v>
      </c>
      <c r="AL247" s="206">
        <v>1.2E-4</v>
      </c>
      <c r="AM247" s="206">
        <v>2.5999999999999998E-4</v>
      </c>
      <c r="AN247" s="194"/>
      <c r="AO247" s="194"/>
      <c r="AP247" s="194"/>
      <c r="AQ247" s="194"/>
      <c r="AR247" s="194"/>
      <c r="AS247" s="194"/>
      <c r="AT247" s="194"/>
      <c r="AU247" s="194"/>
      <c r="AV247" s="194"/>
      <c r="AW247" s="194"/>
      <c r="AX247" s="194"/>
      <c r="AY247" s="194"/>
    </row>
    <row r="248" spans="2:51">
      <c r="Q248" s="1029"/>
      <c r="R248" s="1029"/>
      <c r="S248" s="196" t="s">
        <v>385</v>
      </c>
      <c r="T248" s="197">
        <v>0.21647000000000002</v>
      </c>
      <c r="U248" s="197">
        <v>0.21349000000000001</v>
      </c>
      <c r="V248" s="197">
        <v>1.0000000000000001E-5</v>
      </c>
      <c r="W248" s="197">
        <v>2.97E-3</v>
      </c>
      <c r="X248" s="197">
        <v>0.25006</v>
      </c>
      <c r="Y248" s="197">
        <v>0.24893999999999999</v>
      </c>
      <c r="Z248" s="197">
        <v>5.1000000000000004E-4</v>
      </c>
      <c r="AA248" s="197">
        <v>6.0999999999999997E-4</v>
      </c>
      <c r="AB248" s="197">
        <v>0.24528</v>
      </c>
      <c r="AC248" s="197">
        <v>0.24389</v>
      </c>
      <c r="AD248" s="197">
        <v>4.4000000000000002E-4</v>
      </c>
      <c r="AE248" s="197">
        <v>9.5E-4</v>
      </c>
      <c r="AF248" s="206">
        <v>0.11823</v>
      </c>
      <c r="AG248" s="206">
        <v>0.1174</v>
      </c>
      <c r="AH248" s="206">
        <v>3.2000000000000003E-4</v>
      </c>
      <c r="AI248" s="206">
        <v>5.1000000000000004E-4</v>
      </c>
      <c r="AJ248" s="206">
        <v>7.7039999999999983E-2</v>
      </c>
      <c r="AK248" s="206">
        <v>7.6439999999999994E-2</v>
      </c>
      <c r="AL248" s="206">
        <v>1.9000000000000001E-4</v>
      </c>
      <c r="AM248" s="206">
        <v>4.0999999999999999E-4</v>
      </c>
      <c r="AN248" s="194"/>
      <c r="AO248" s="194"/>
      <c r="AP248" s="194"/>
      <c r="AQ248" s="194"/>
      <c r="AR248" s="194"/>
      <c r="AS248" s="194"/>
      <c r="AT248" s="194"/>
      <c r="AU248" s="194"/>
      <c r="AV248" s="194"/>
      <c r="AW248" s="194"/>
      <c r="AX248" s="194"/>
      <c r="AY248" s="194"/>
    </row>
    <row r="249" spans="2:51">
      <c r="Q249" s="1029"/>
      <c r="R249" s="1029" t="s">
        <v>1855</v>
      </c>
      <c r="S249" s="196" t="s">
        <v>384</v>
      </c>
      <c r="T249" s="197">
        <v>0.14691000000000001</v>
      </c>
      <c r="U249" s="197">
        <v>0.14507</v>
      </c>
      <c r="V249" s="197">
        <v>4.3200000000000001E-6</v>
      </c>
      <c r="W249" s="197">
        <v>1.8400000000000001E-3</v>
      </c>
      <c r="X249" s="197">
        <v>0.18007999999999999</v>
      </c>
      <c r="Y249" s="197">
        <v>0.17938000000000001</v>
      </c>
      <c r="Z249" s="197">
        <v>3.2000000000000003E-4</v>
      </c>
      <c r="AA249" s="197">
        <v>3.8000000000000002E-4</v>
      </c>
      <c r="AB249" s="197">
        <v>0.16361999999999999</v>
      </c>
      <c r="AC249" s="197">
        <v>0.16234999999999999</v>
      </c>
      <c r="AD249" s="197">
        <v>1.6000000000000001E-4</v>
      </c>
      <c r="AE249" s="197">
        <v>1.1100000000000001E-3</v>
      </c>
      <c r="AF249" s="206">
        <v>0.10104</v>
      </c>
      <c r="AG249" s="206">
        <v>0.10037</v>
      </c>
      <c r="AH249" s="206">
        <v>2.9E-4</v>
      </c>
      <c r="AI249" s="206">
        <v>3.8000000000000002E-4</v>
      </c>
      <c r="AJ249" s="206">
        <v>5.7719999999999994E-2</v>
      </c>
      <c r="AK249" s="206">
        <v>5.7259999999999998E-2</v>
      </c>
      <c r="AL249" s="206">
        <v>1.4999999999999999E-4</v>
      </c>
      <c r="AM249" s="206">
        <v>3.1E-4</v>
      </c>
      <c r="AN249" s="194"/>
      <c r="AO249" s="194"/>
      <c r="AP249" s="194"/>
      <c r="AQ249" s="194"/>
      <c r="AR249" s="194"/>
      <c r="AS249" s="194"/>
      <c r="AT249" s="194"/>
      <c r="AU249" s="194"/>
      <c r="AV249" s="194"/>
      <c r="AW249" s="194"/>
      <c r="AX249" s="194"/>
      <c r="AY249" s="194"/>
    </row>
    <row r="250" spans="2:51">
      <c r="Q250" s="1029"/>
      <c r="R250" s="1029"/>
      <c r="S250" s="196" t="s">
        <v>385</v>
      </c>
      <c r="T250" s="197">
        <v>0.23644000000000001</v>
      </c>
      <c r="U250" s="197">
        <v>0.23346</v>
      </c>
      <c r="V250" s="197">
        <v>1.0000000000000001E-5</v>
      </c>
      <c r="W250" s="197">
        <v>2.97E-3</v>
      </c>
      <c r="X250" s="197">
        <v>0.2898</v>
      </c>
      <c r="Y250" s="197">
        <v>0.28867999999999999</v>
      </c>
      <c r="Z250" s="197">
        <v>5.1000000000000004E-4</v>
      </c>
      <c r="AA250" s="197">
        <v>6.0999999999999997E-4</v>
      </c>
      <c r="AB250" s="197">
        <v>0.26332</v>
      </c>
      <c r="AC250" s="197">
        <v>0.26128000000000001</v>
      </c>
      <c r="AD250" s="197">
        <v>2.5999999999999998E-4</v>
      </c>
      <c r="AE250" s="197">
        <v>1.7799999999999999E-3</v>
      </c>
      <c r="AF250" s="206">
        <v>0.16259999999999999</v>
      </c>
      <c r="AG250" s="206">
        <v>0.16152</v>
      </c>
      <c r="AH250" s="206">
        <v>4.6999999999999999E-4</v>
      </c>
      <c r="AI250" s="206">
        <v>6.0999999999999997E-4</v>
      </c>
      <c r="AJ250" s="206">
        <v>9.287999999999999E-2</v>
      </c>
      <c r="AK250" s="206">
        <v>9.2149999999999996E-2</v>
      </c>
      <c r="AL250" s="206">
        <v>2.3000000000000001E-4</v>
      </c>
      <c r="AM250" s="206">
        <v>5.0000000000000001E-4</v>
      </c>
      <c r="AN250" s="194"/>
      <c r="AO250" s="194"/>
      <c r="AP250" s="194"/>
      <c r="AQ250" s="194"/>
      <c r="AR250" s="194"/>
      <c r="AS250" s="194"/>
      <c r="AT250" s="194"/>
      <c r="AU250" s="194"/>
      <c r="AV250" s="194"/>
      <c r="AW250" s="194"/>
      <c r="AX250" s="194"/>
      <c r="AY250" s="194"/>
    </row>
    <row r="251" spans="2:51">
      <c r="Q251" s="1029"/>
      <c r="R251" s="1029" t="s">
        <v>1857</v>
      </c>
      <c r="S251" s="196" t="s">
        <v>384</v>
      </c>
      <c r="T251" s="197">
        <v>0.16533</v>
      </c>
      <c r="U251" s="197">
        <v>0.16349</v>
      </c>
      <c r="V251" s="197">
        <v>4.3200000000000001E-6</v>
      </c>
      <c r="W251" s="197">
        <v>1.8400000000000001E-3</v>
      </c>
      <c r="X251" s="197">
        <v>0.20791999999999999</v>
      </c>
      <c r="Y251" s="197">
        <v>0.20721999999999999</v>
      </c>
      <c r="Z251" s="197">
        <v>3.2000000000000003E-4</v>
      </c>
      <c r="AA251" s="197">
        <v>3.8000000000000002E-4</v>
      </c>
      <c r="AB251" s="197">
        <v>0.17537</v>
      </c>
      <c r="AC251" s="197">
        <v>0.17379</v>
      </c>
      <c r="AD251" s="197">
        <v>8.0000000000000007E-5</v>
      </c>
      <c r="AE251" s="197">
        <v>1.5E-3</v>
      </c>
      <c r="AF251" s="206">
        <v>0.11448000000000001</v>
      </c>
      <c r="AG251" s="206">
        <v>0.11371000000000001</v>
      </c>
      <c r="AH251" s="206">
        <v>3.2000000000000003E-4</v>
      </c>
      <c r="AI251" s="206">
        <v>4.4999999999999999E-4</v>
      </c>
      <c r="AJ251" s="206">
        <v>4.6589999999999999E-2</v>
      </c>
      <c r="AK251" s="206">
        <v>4.6219999999999997E-2</v>
      </c>
      <c r="AL251" s="206">
        <v>1.2E-4</v>
      </c>
      <c r="AM251" s="206">
        <v>2.5000000000000001E-4</v>
      </c>
      <c r="AN251" s="194"/>
      <c r="AO251" s="194"/>
      <c r="AP251" s="194"/>
      <c r="AQ251" s="194"/>
      <c r="AR251" s="194"/>
      <c r="AS251" s="194"/>
      <c r="AT251" s="194"/>
      <c r="AU251" s="194"/>
      <c r="AV251" s="194"/>
      <c r="AW251" s="194"/>
      <c r="AX251" s="194"/>
      <c r="AY251" s="194"/>
    </row>
    <row r="252" spans="2:51">
      <c r="Q252" s="1029"/>
      <c r="R252" s="1029"/>
      <c r="S252" s="196" t="s">
        <v>385</v>
      </c>
      <c r="T252" s="197">
        <v>0.2661</v>
      </c>
      <c r="U252" s="197">
        <v>0.26312000000000002</v>
      </c>
      <c r="V252" s="197">
        <v>1.0000000000000001E-5</v>
      </c>
      <c r="W252" s="197">
        <v>2.97E-3</v>
      </c>
      <c r="X252" s="197">
        <v>0.33461000000000002</v>
      </c>
      <c r="Y252" s="197">
        <v>0.33349000000000001</v>
      </c>
      <c r="Z252" s="197">
        <v>5.1000000000000004E-4</v>
      </c>
      <c r="AA252" s="197">
        <v>6.0999999999999997E-4</v>
      </c>
      <c r="AB252" s="197">
        <v>0.28223000000000004</v>
      </c>
      <c r="AC252" s="197">
        <v>0.27968999999999999</v>
      </c>
      <c r="AD252" s="197">
        <v>1.2999999999999999E-4</v>
      </c>
      <c r="AE252" s="197">
        <v>2.4099999999999998E-3</v>
      </c>
      <c r="AF252" s="206">
        <v>0.18426000000000001</v>
      </c>
      <c r="AG252" s="206">
        <v>0.18301000000000001</v>
      </c>
      <c r="AH252" s="206">
        <v>5.1999999999999995E-4</v>
      </c>
      <c r="AI252" s="206">
        <v>7.2999999999999996E-4</v>
      </c>
      <c r="AJ252" s="206">
        <v>7.4969999999999995E-2</v>
      </c>
      <c r="AK252" s="206">
        <v>7.4380000000000002E-2</v>
      </c>
      <c r="AL252" s="206">
        <v>1.9000000000000001E-4</v>
      </c>
      <c r="AM252" s="206">
        <v>4.0000000000000002E-4</v>
      </c>
      <c r="AN252" s="194"/>
      <c r="AO252" s="194"/>
      <c r="AP252" s="194"/>
      <c r="AQ252" s="194"/>
      <c r="AR252" s="194"/>
      <c r="AS252" s="194"/>
      <c r="AT252" s="194"/>
      <c r="AU252" s="194"/>
      <c r="AV252" s="194"/>
      <c r="AW252" s="194"/>
      <c r="AX252" s="194"/>
      <c r="AY252" s="194"/>
    </row>
    <row r="253" spans="2:51">
      <c r="Q253" s="1029"/>
      <c r="R253" s="1029" t="s">
        <v>1858</v>
      </c>
      <c r="S253" s="196" t="s">
        <v>384</v>
      </c>
      <c r="T253" s="197">
        <v>0.17524999999999999</v>
      </c>
      <c r="U253" s="197">
        <v>0.17341000000000001</v>
      </c>
      <c r="V253" s="197">
        <v>4.3200000000000001E-6</v>
      </c>
      <c r="W253" s="197">
        <v>1.8400000000000001E-3</v>
      </c>
      <c r="X253" s="197">
        <v>0.23658999999999999</v>
      </c>
      <c r="Y253" s="197">
        <v>0.23588999999999999</v>
      </c>
      <c r="Z253" s="197">
        <v>3.2000000000000003E-4</v>
      </c>
      <c r="AA253" s="197">
        <v>3.8000000000000002E-4</v>
      </c>
      <c r="AB253" s="197">
        <v>0.18909000000000001</v>
      </c>
      <c r="AC253" s="197">
        <v>0.1875</v>
      </c>
      <c r="AD253" s="197">
        <v>8.0000000000000007E-5</v>
      </c>
      <c r="AE253" s="197">
        <v>1.5100000000000001E-3</v>
      </c>
      <c r="AF253" s="206">
        <v>0.12417</v>
      </c>
      <c r="AG253" s="206">
        <v>0.12335</v>
      </c>
      <c r="AH253" s="206">
        <v>3.5E-4</v>
      </c>
      <c r="AI253" s="206">
        <v>4.6999999999999999E-4</v>
      </c>
      <c r="AJ253" s="206" t="s">
        <v>1852</v>
      </c>
      <c r="AK253" s="206" t="s">
        <v>1852</v>
      </c>
      <c r="AL253" s="206" t="s">
        <v>1852</v>
      </c>
      <c r="AM253" s="206" t="s">
        <v>1852</v>
      </c>
      <c r="AN253" s="194"/>
      <c r="AO253" s="194"/>
      <c r="AP253" s="194"/>
      <c r="AQ253" s="194"/>
      <c r="AR253" s="194"/>
      <c r="AS253" s="194"/>
      <c r="AT253" s="194"/>
      <c r="AU253" s="194"/>
      <c r="AV253" s="194"/>
      <c r="AW253" s="194"/>
      <c r="AX253" s="194"/>
      <c r="AY253" s="194"/>
    </row>
    <row r="254" spans="2:51">
      <c r="Q254" s="1029"/>
      <c r="R254" s="1029"/>
      <c r="S254" s="196" t="s">
        <v>385</v>
      </c>
      <c r="T254" s="197">
        <v>0.28205999999999998</v>
      </c>
      <c r="U254" s="197">
        <v>0.27907999999999999</v>
      </c>
      <c r="V254" s="197">
        <v>1.0000000000000001E-5</v>
      </c>
      <c r="W254" s="197">
        <v>2.97E-3</v>
      </c>
      <c r="X254" s="197">
        <v>0.38075000000000003</v>
      </c>
      <c r="Y254" s="197">
        <v>0.37963000000000002</v>
      </c>
      <c r="Z254" s="197">
        <v>5.1000000000000004E-4</v>
      </c>
      <c r="AA254" s="197">
        <v>6.0999999999999997E-4</v>
      </c>
      <c r="AB254" s="197">
        <v>0.30431999999999998</v>
      </c>
      <c r="AC254" s="197">
        <v>0.30175999999999997</v>
      </c>
      <c r="AD254" s="197">
        <v>1.2E-4</v>
      </c>
      <c r="AE254" s="197">
        <v>2.4399999999999999E-3</v>
      </c>
      <c r="AF254" s="206">
        <v>0.19983999999999999</v>
      </c>
      <c r="AG254" s="206">
        <v>0.19850999999999999</v>
      </c>
      <c r="AH254" s="206">
        <v>5.6999999999999998E-4</v>
      </c>
      <c r="AI254" s="206">
        <v>7.6000000000000004E-4</v>
      </c>
      <c r="AJ254" s="206" t="s">
        <v>1852</v>
      </c>
      <c r="AK254" s="206" t="s">
        <v>1852</v>
      </c>
      <c r="AL254" s="206" t="s">
        <v>1852</v>
      </c>
      <c r="AM254" s="206" t="s">
        <v>1852</v>
      </c>
      <c r="AN254" s="194"/>
      <c r="AO254" s="194"/>
      <c r="AP254" s="194"/>
      <c r="AQ254" s="194"/>
      <c r="AR254" s="194"/>
      <c r="AS254" s="194"/>
      <c r="AT254" s="194"/>
      <c r="AU254" s="194"/>
      <c r="AV254" s="194"/>
      <c r="AW254" s="194"/>
      <c r="AX254" s="194"/>
      <c r="AY254" s="194"/>
    </row>
    <row r="255" spans="2:51">
      <c r="Q255" s="1029"/>
      <c r="R255" s="1029" t="s">
        <v>1859</v>
      </c>
      <c r="S255" s="196" t="s">
        <v>384</v>
      </c>
      <c r="T255" s="197">
        <v>0.21285999999999999</v>
      </c>
      <c r="U255" s="197">
        <v>0.21102000000000001</v>
      </c>
      <c r="V255" s="197">
        <v>4.3200000000000001E-6</v>
      </c>
      <c r="W255" s="197">
        <v>1.8400000000000001E-3</v>
      </c>
      <c r="X255" s="197">
        <v>0.33566000000000001</v>
      </c>
      <c r="Y255" s="197">
        <v>0.33495999999999998</v>
      </c>
      <c r="Z255" s="197">
        <v>3.2000000000000003E-4</v>
      </c>
      <c r="AA255" s="197">
        <v>3.8000000000000002E-4</v>
      </c>
      <c r="AB255" s="197">
        <v>0.26918999999999998</v>
      </c>
      <c r="AC255" s="197">
        <v>0.26787</v>
      </c>
      <c r="AD255" s="197">
        <v>1.4999999999999999E-4</v>
      </c>
      <c r="AE255" s="197">
        <v>1.17E-3</v>
      </c>
      <c r="AF255" s="206">
        <v>0.14588000000000001</v>
      </c>
      <c r="AG255" s="206">
        <v>0.14491999999999999</v>
      </c>
      <c r="AH255" s="206">
        <v>4.2000000000000002E-4</v>
      </c>
      <c r="AI255" s="206">
        <v>5.4000000000000001E-4</v>
      </c>
      <c r="AJ255" s="206">
        <v>7.0269999999999999E-2</v>
      </c>
      <c r="AK255" s="206">
        <v>6.9709999999999994E-2</v>
      </c>
      <c r="AL255" s="206">
        <v>1.8000000000000001E-4</v>
      </c>
      <c r="AM255" s="206">
        <v>3.8000000000000002E-4</v>
      </c>
      <c r="AN255" s="194"/>
      <c r="AO255" s="194"/>
      <c r="AP255" s="194"/>
      <c r="AQ255" s="194"/>
      <c r="AR255" s="194"/>
      <c r="AS255" s="194"/>
      <c r="AT255" s="194"/>
      <c r="AU255" s="194"/>
      <c r="AV255" s="194"/>
      <c r="AW255" s="194"/>
      <c r="AX255" s="194"/>
      <c r="AY255" s="194"/>
    </row>
    <row r="256" spans="2:51">
      <c r="Q256" s="1029"/>
      <c r="R256" s="1029"/>
      <c r="S256" s="196" t="s">
        <v>385</v>
      </c>
      <c r="T256" s="197">
        <v>0.34258</v>
      </c>
      <c r="U256" s="197">
        <v>0.33960000000000001</v>
      </c>
      <c r="V256" s="197">
        <v>1.0000000000000001E-5</v>
      </c>
      <c r="W256" s="197">
        <v>2.97E-3</v>
      </c>
      <c r="X256" s="197">
        <v>0.54019000000000006</v>
      </c>
      <c r="Y256" s="197">
        <v>0.53907000000000005</v>
      </c>
      <c r="Z256" s="197">
        <v>5.1000000000000004E-4</v>
      </c>
      <c r="AA256" s="197">
        <v>6.0999999999999997E-4</v>
      </c>
      <c r="AB256" s="197">
        <v>0.43321999999999999</v>
      </c>
      <c r="AC256" s="197">
        <v>0.43108999999999997</v>
      </c>
      <c r="AD256" s="197">
        <v>2.4000000000000001E-4</v>
      </c>
      <c r="AE256" s="197">
        <v>1.89E-3</v>
      </c>
      <c r="AF256" s="206">
        <v>0.23477000000000001</v>
      </c>
      <c r="AG256" s="206">
        <v>0.23322999999999999</v>
      </c>
      <c r="AH256" s="206">
        <v>6.8000000000000005E-4</v>
      </c>
      <c r="AI256" s="206">
        <v>8.5999999999999998E-4</v>
      </c>
      <c r="AJ256" s="206">
        <v>0.11309</v>
      </c>
      <c r="AK256" s="206">
        <v>0.11219</v>
      </c>
      <c r="AL256" s="206">
        <v>2.9E-4</v>
      </c>
      <c r="AM256" s="206">
        <v>6.0999999999999997E-4</v>
      </c>
      <c r="AN256" s="194"/>
      <c r="AO256" s="194"/>
      <c r="AP256" s="194"/>
      <c r="AQ256" s="194"/>
      <c r="AR256" s="194"/>
      <c r="AS256" s="194"/>
      <c r="AT256" s="194"/>
      <c r="AU256" s="194"/>
      <c r="AV256" s="194"/>
      <c r="AW256" s="194"/>
      <c r="AX256" s="194"/>
      <c r="AY256" s="194"/>
    </row>
    <row r="257" spans="17:51">
      <c r="Q257" s="1029"/>
      <c r="R257" s="1029" t="s">
        <v>1862</v>
      </c>
      <c r="S257" s="196" t="s">
        <v>384</v>
      </c>
      <c r="T257" s="197">
        <v>0.17332</v>
      </c>
      <c r="U257" s="197">
        <v>0.17147999999999999</v>
      </c>
      <c r="V257" s="197">
        <v>4.3200000000000001E-6</v>
      </c>
      <c r="W257" s="197">
        <v>1.8400000000000001E-3</v>
      </c>
      <c r="X257" s="197">
        <v>0.246</v>
      </c>
      <c r="Y257" s="197">
        <v>0.24529999999999999</v>
      </c>
      <c r="Z257" s="197">
        <v>3.2000000000000003E-4</v>
      </c>
      <c r="AA257" s="197">
        <v>3.8000000000000002E-4</v>
      </c>
      <c r="AB257" s="197">
        <v>0.23441000000000001</v>
      </c>
      <c r="AC257" s="197">
        <v>0.23352999999999999</v>
      </c>
      <c r="AD257" s="197">
        <v>2.7E-4</v>
      </c>
      <c r="AE257" s="197">
        <v>6.0999999999999997E-4</v>
      </c>
      <c r="AF257" s="206">
        <v>0.11894999999999999</v>
      </c>
      <c r="AG257" s="206">
        <v>0.11817999999999999</v>
      </c>
      <c r="AH257" s="206">
        <v>3.4000000000000002E-4</v>
      </c>
      <c r="AI257" s="206">
        <v>4.2999999999999999E-4</v>
      </c>
      <c r="AJ257" s="206">
        <v>8.9679999999999982E-2</v>
      </c>
      <c r="AK257" s="206">
        <v>8.8969999999999994E-2</v>
      </c>
      <c r="AL257" s="206">
        <v>2.3000000000000001E-4</v>
      </c>
      <c r="AM257" s="206">
        <v>4.8000000000000001E-4</v>
      </c>
      <c r="AN257" s="194"/>
      <c r="AO257" s="194"/>
      <c r="AP257" s="194"/>
      <c r="AQ257" s="194"/>
      <c r="AR257" s="194"/>
      <c r="AS257" s="194"/>
      <c r="AT257" s="194"/>
      <c r="AU257" s="194"/>
      <c r="AV257" s="194"/>
      <c r="AW257" s="194"/>
      <c r="AX257" s="194"/>
      <c r="AY257" s="194"/>
    </row>
    <row r="258" spans="17:51">
      <c r="Q258" s="1029"/>
      <c r="R258" s="1029"/>
      <c r="S258" s="196" t="s">
        <v>385</v>
      </c>
      <c r="T258" s="197">
        <v>0.27894999999999998</v>
      </c>
      <c r="U258" s="197">
        <v>0.27596999999999999</v>
      </c>
      <c r="V258" s="197">
        <v>1.0000000000000001E-5</v>
      </c>
      <c r="W258" s="197">
        <v>2.97E-3</v>
      </c>
      <c r="X258" s="197">
        <v>0.39590000000000003</v>
      </c>
      <c r="Y258" s="197">
        <v>0.39478000000000002</v>
      </c>
      <c r="Z258" s="197">
        <v>5.1000000000000004E-4</v>
      </c>
      <c r="AA258" s="197">
        <v>6.0999999999999997E-4</v>
      </c>
      <c r="AB258" s="197">
        <v>0.37723999999999996</v>
      </c>
      <c r="AC258" s="197">
        <v>0.37581999999999999</v>
      </c>
      <c r="AD258" s="197">
        <v>4.2999999999999999E-4</v>
      </c>
      <c r="AE258" s="197">
        <v>9.8999999999999999E-4</v>
      </c>
      <c r="AF258" s="206">
        <v>0.19144</v>
      </c>
      <c r="AG258" s="206">
        <v>0.19019</v>
      </c>
      <c r="AH258" s="206">
        <v>5.5000000000000003E-4</v>
      </c>
      <c r="AI258" s="206">
        <v>6.9999999999999999E-4</v>
      </c>
      <c r="AJ258" s="206">
        <v>0.14432</v>
      </c>
      <c r="AK258" s="206">
        <v>0.14318</v>
      </c>
      <c r="AL258" s="206">
        <v>3.6000000000000002E-4</v>
      </c>
      <c r="AM258" s="206">
        <v>7.7999999999999999E-4</v>
      </c>
      <c r="AN258" s="194"/>
      <c r="AO258" s="194"/>
      <c r="AP258" s="194"/>
      <c r="AQ258" s="194"/>
      <c r="AR258" s="194"/>
      <c r="AS258" s="194"/>
      <c r="AT258" s="194"/>
      <c r="AU258" s="194"/>
      <c r="AV258" s="194"/>
      <c r="AW258" s="194"/>
      <c r="AX258" s="194"/>
      <c r="AY258" s="194"/>
    </row>
    <row r="259" spans="17:51">
      <c r="Q259" s="1029"/>
      <c r="R259" s="1029" t="s">
        <v>1863</v>
      </c>
      <c r="S259" s="196" t="s">
        <v>384</v>
      </c>
      <c r="T259" s="197">
        <v>0.20257</v>
      </c>
      <c r="U259" s="197">
        <v>0.20072999999999999</v>
      </c>
      <c r="V259" s="197">
        <v>4.3200000000000001E-6</v>
      </c>
      <c r="W259" s="197">
        <v>1.8400000000000001E-3</v>
      </c>
      <c r="X259" s="197">
        <v>0.23663000000000001</v>
      </c>
      <c r="Y259" s="197">
        <v>0.23593</v>
      </c>
      <c r="Z259" s="197">
        <v>3.2000000000000003E-4</v>
      </c>
      <c r="AA259" s="197">
        <v>3.8000000000000002E-4</v>
      </c>
      <c r="AB259" s="197">
        <v>0.20924999999999999</v>
      </c>
      <c r="AC259" s="197">
        <v>0.20762</v>
      </c>
      <c r="AD259" s="197">
        <v>6.9999999999999994E-5</v>
      </c>
      <c r="AE259" s="197">
        <v>1.56E-3</v>
      </c>
      <c r="AF259" s="206">
        <v>0.12501999999999999</v>
      </c>
      <c r="AG259" s="206">
        <v>0.12418999999999999</v>
      </c>
      <c r="AH259" s="206">
        <v>3.5E-4</v>
      </c>
      <c r="AI259" s="206">
        <v>4.8000000000000001E-4</v>
      </c>
      <c r="AJ259" s="206">
        <v>8.0329999999999999E-2</v>
      </c>
      <c r="AK259" s="206">
        <v>7.9699999999999993E-2</v>
      </c>
      <c r="AL259" s="206">
        <v>2.0000000000000001E-4</v>
      </c>
      <c r="AM259" s="206">
        <v>4.2999999999999999E-4</v>
      </c>
      <c r="AN259" s="194"/>
      <c r="AO259" s="194"/>
      <c r="AP259" s="194"/>
      <c r="AQ259" s="194"/>
      <c r="AR259" s="194"/>
      <c r="AS259" s="194"/>
      <c r="AT259" s="194"/>
      <c r="AU259" s="194"/>
      <c r="AV259" s="194"/>
      <c r="AW259" s="194"/>
      <c r="AX259" s="194"/>
      <c r="AY259" s="194"/>
    </row>
    <row r="260" spans="17:51">
      <c r="Q260" s="1029"/>
      <c r="R260" s="1029"/>
      <c r="S260" s="196" t="s">
        <v>385</v>
      </c>
      <c r="T260" s="197">
        <v>0.32601999999999998</v>
      </c>
      <c r="U260" s="197">
        <v>0.32303999999999999</v>
      </c>
      <c r="V260" s="197">
        <v>1.0000000000000001E-5</v>
      </c>
      <c r="W260" s="197">
        <v>2.97E-3</v>
      </c>
      <c r="X260" s="197">
        <v>0.38081000000000004</v>
      </c>
      <c r="Y260" s="197">
        <v>0.37969000000000003</v>
      </c>
      <c r="Z260" s="197">
        <v>5.1000000000000004E-4</v>
      </c>
      <c r="AA260" s="197">
        <v>6.0999999999999997E-4</v>
      </c>
      <c r="AB260" s="197">
        <v>0.33674999999999999</v>
      </c>
      <c r="AC260" s="197">
        <v>0.33412999999999998</v>
      </c>
      <c r="AD260" s="197">
        <v>1.1E-4</v>
      </c>
      <c r="AE260" s="197">
        <v>2.5100000000000001E-3</v>
      </c>
      <c r="AF260" s="206">
        <v>0.20121</v>
      </c>
      <c r="AG260" s="206">
        <v>0.19986000000000001</v>
      </c>
      <c r="AH260" s="206">
        <v>5.6999999999999998E-4</v>
      </c>
      <c r="AI260" s="206">
        <v>7.7999999999999999E-4</v>
      </c>
      <c r="AJ260" s="206">
        <v>0.12928999999999999</v>
      </c>
      <c r="AK260" s="206">
        <v>0.12827</v>
      </c>
      <c r="AL260" s="206">
        <v>3.3E-4</v>
      </c>
      <c r="AM260" s="206">
        <v>6.8999999999999997E-4</v>
      </c>
      <c r="AN260" s="194"/>
      <c r="AO260" s="194"/>
      <c r="AP260" s="194"/>
      <c r="AQ260" s="194"/>
      <c r="AR260" s="194"/>
      <c r="AS260" s="194"/>
      <c r="AT260" s="194"/>
      <c r="AU260" s="194"/>
      <c r="AV260" s="194"/>
      <c r="AW260" s="194"/>
      <c r="AX260" s="194"/>
      <c r="AY260" s="194"/>
    </row>
    <row r="261" spans="17:51">
      <c r="Q261" s="1029"/>
      <c r="R261" s="1029" t="s">
        <v>1865</v>
      </c>
      <c r="S261" s="196" t="s">
        <v>384</v>
      </c>
      <c r="T261" s="197">
        <v>0.18101</v>
      </c>
      <c r="U261" s="197">
        <v>0.17917</v>
      </c>
      <c r="V261" s="197">
        <v>4.3200000000000001E-6</v>
      </c>
      <c r="W261" s="197">
        <v>1.8400000000000001E-3</v>
      </c>
      <c r="X261" s="197">
        <v>0.19939999999999999</v>
      </c>
      <c r="Y261" s="197">
        <v>0.19869999999999999</v>
      </c>
      <c r="Z261" s="197">
        <v>3.2000000000000003E-4</v>
      </c>
      <c r="AA261" s="197">
        <v>3.8000000000000002E-4</v>
      </c>
      <c r="AB261" s="197">
        <v>0.18609999999999999</v>
      </c>
      <c r="AC261" s="197">
        <v>0.18457000000000001</v>
      </c>
      <c r="AD261" s="197">
        <v>9.0000000000000006E-5</v>
      </c>
      <c r="AE261" s="197">
        <v>1.4400000000000001E-3</v>
      </c>
      <c r="AF261" s="206" t="s">
        <v>1852</v>
      </c>
      <c r="AG261" s="206" t="s">
        <v>1852</v>
      </c>
      <c r="AH261" s="206" t="s">
        <v>1852</v>
      </c>
      <c r="AI261" s="206" t="s">
        <v>1852</v>
      </c>
      <c r="AJ261" s="206">
        <v>6.4039999999999986E-2</v>
      </c>
      <c r="AK261" s="206">
        <v>6.3539999999999999E-2</v>
      </c>
      <c r="AL261" s="206">
        <v>1.6000000000000001E-4</v>
      </c>
      <c r="AM261" s="206">
        <v>3.4000000000000002E-4</v>
      </c>
      <c r="AN261" s="194"/>
      <c r="AO261" s="194"/>
      <c r="AP261" s="194"/>
      <c r="AQ261" s="194"/>
      <c r="AR261" s="194"/>
      <c r="AS261" s="194"/>
      <c r="AT261" s="194"/>
      <c r="AU261" s="194"/>
      <c r="AV261" s="194"/>
      <c r="AW261" s="194"/>
      <c r="AX261" s="194"/>
      <c r="AY261" s="194"/>
    </row>
    <row r="262" spans="17:51">
      <c r="Q262" s="1029"/>
      <c r="R262" s="1029"/>
      <c r="S262" s="196" t="s">
        <v>385</v>
      </c>
      <c r="T262" s="197">
        <v>0.29132999999999998</v>
      </c>
      <c r="U262" s="197">
        <v>0.28835</v>
      </c>
      <c r="V262" s="197">
        <v>1.0000000000000001E-5</v>
      </c>
      <c r="W262" s="197">
        <v>2.97E-3</v>
      </c>
      <c r="X262" s="197">
        <v>0.32089000000000001</v>
      </c>
      <c r="Y262" s="197">
        <v>0.31977</v>
      </c>
      <c r="Z262" s="197">
        <v>5.1000000000000004E-4</v>
      </c>
      <c r="AA262" s="197">
        <v>6.0999999999999997E-4</v>
      </c>
      <c r="AB262" s="197">
        <v>0.29951</v>
      </c>
      <c r="AC262" s="197">
        <v>0.29704000000000003</v>
      </c>
      <c r="AD262" s="197">
        <v>1.4999999999999999E-4</v>
      </c>
      <c r="AE262" s="197">
        <v>2.32E-3</v>
      </c>
      <c r="AF262" s="206" t="s">
        <v>1852</v>
      </c>
      <c r="AG262" s="206" t="s">
        <v>1852</v>
      </c>
      <c r="AH262" s="206" t="s">
        <v>1852</v>
      </c>
      <c r="AI262" s="206" t="s">
        <v>1852</v>
      </c>
      <c r="AJ262" s="206">
        <v>0.10305999999999998</v>
      </c>
      <c r="AK262" s="206">
        <v>0.10224999999999999</v>
      </c>
      <c r="AL262" s="206">
        <v>2.5999999999999998E-4</v>
      </c>
      <c r="AM262" s="206">
        <v>5.5000000000000003E-4</v>
      </c>
      <c r="AN262" s="194"/>
      <c r="AO262" s="194"/>
      <c r="AP262" s="194"/>
      <c r="AQ262" s="194"/>
      <c r="AR262" s="194"/>
      <c r="AS262" s="194"/>
      <c r="AT262" s="194"/>
      <c r="AU262" s="194"/>
      <c r="AV262" s="194"/>
      <c r="AW262" s="194"/>
      <c r="AX262" s="194"/>
      <c r="AY262" s="194"/>
    </row>
    <row r="263" spans="17:51">
      <c r="Q263" s="194"/>
      <c r="R263" s="194"/>
      <c r="S263" s="194"/>
      <c r="T263" s="194"/>
      <c r="U263" s="194"/>
      <c r="V263" s="194"/>
      <c r="W263" s="194"/>
      <c r="X263" s="194"/>
      <c r="Y263" s="194"/>
      <c r="Z263" s="194"/>
      <c r="AA263" s="194"/>
      <c r="AB263" s="194"/>
      <c r="AC263" s="194"/>
      <c r="AD263" s="194"/>
      <c r="AE263" s="194"/>
      <c r="AF263" s="194"/>
      <c r="AG263" s="194"/>
      <c r="AH263" s="194"/>
      <c r="AI263" s="194"/>
      <c r="AJ263" s="194"/>
      <c r="AK263" s="194"/>
      <c r="AL263" s="194"/>
      <c r="AM263" s="194"/>
      <c r="AN263" s="194"/>
      <c r="AO263" s="194"/>
      <c r="AP263" s="194"/>
      <c r="AQ263" s="194"/>
      <c r="AR263" s="194"/>
      <c r="AS263" s="194"/>
      <c r="AT263" s="194"/>
      <c r="AU263" s="194"/>
      <c r="AV263" s="194"/>
      <c r="AW263" s="194"/>
      <c r="AX263" s="194"/>
      <c r="AY263" s="194"/>
    </row>
    <row r="264" spans="17:51">
      <c r="Q264" s="194"/>
      <c r="R264" s="194"/>
      <c r="S264" s="194"/>
      <c r="T264" s="194"/>
      <c r="U264" s="194"/>
      <c r="V264" s="194"/>
      <c r="W264" s="194"/>
      <c r="X264" s="194"/>
      <c r="Y264" s="194"/>
      <c r="Z264" s="194"/>
      <c r="AA264" s="194"/>
      <c r="AB264" s="194"/>
      <c r="AC264" s="194"/>
      <c r="AD264" s="194"/>
      <c r="AE264" s="194"/>
      <c r="AF264" s="194"/>
      <c r="AG264" s="194"/>
      <c r="AH264" s="194"/>
      <c r="AI264" s="194"/>
      <c r="AJ264" s="194"/>
      <c r="AK264" s="194"/>
      <c r="AL264" s="194"/>
      <c r="AM264" s="194"/>
      <c r="AN264" s="194"/>
      <c r="AO264" s="194"/>
      <c r="AP264" s="194"/>
      <c r="AQ264" s="194"/>
      <c r="AR264" s="194"/>
      <c r="AS264" s="194"/>
      <c r="AT264" s="194"/>
      <c r="AU264" s="194"/>
      <c r="AV264" s="194"/>
      <c r="AW264" s="194"/>
      <c r="AX264" s="194"/>
      <c r="AY264" s="194"/>
    </row>
    <row r="265" spans="17:51">
      <c r="Q265" s="194"/>
      <c r="R265" s="194"/>
      <c r="S265" s="194"/>
      <c r="T265" s="1031" t="s">
        <v>374</v>
      </c>
      <c r="U265" s="1031"/>
      <c r="V265" s="1031"/>
      <c r="W265" s="1031"/>
      <c r="X265" s="1031" t="s">
        <v>375</v>
      </c>
      <c r="Y265" s="1031"/>
      <c r="Z265" s="1031"/>
      <c r="AA265" s="1031"/>
      <c r="AB265" s="1031" t="s">
        <v>376</v>
      </c>
      <c r="AC265" s="1031"/>
      <c r="AD265" s="1031"/>
      <c r="AE265" s="1031"/>
      <c r="AF265" s="1031" t="s">
        <v>377</v>
      </c>
      <c r="AG265" s="1031"/>
      <c r="AH265" s="1031"/>
      <c r="AI265" s="1031"/>
      <c r="AJ265" s="1031" t="s">
        <v>378</v>
      </c>
      <c r="AK265" s="1031"/>
      <c r="AL265" s="1031"/>
      <c r="AM265" s="1031"/>
      <c r="AN265" s="1031" t="s">
        <v>379</v>
      </c>
      <c r="AO265" s="1031"/>
      <c r="AP265" s="1031"/>
      <c r="AQ265" s="1052"/>
      <c r="AR265" s="1049" t="s">
        <v>380</v>
      </c>
      <c r="AS265" s="1050"/>
      <c r="AT265" s="1050"/>
      <c r="AU265" s="1051"/>
      <c r="AV265" s="1049" t="s">
        <v>381</v>
      </c>
      <c r="AW265" s="1050"/>
      <c r="AX265" s="1050"/>
      <c r="AY265" s="1051"/>
    </row>
    <row r="266" spans="17:51" ht="18">
      <c r="Q266" s="195" t="s">
        <v>354</v>
      </c>
      <c r="R266" s="195" t="s">
        <v>369</v>
      </c>
      <c r="S266" s="195" t="s">
        <v>194</v>
      </c>
      <c r="T266" s="196" t="s">
        <v>413</v>
      </c>
      <c r="U266" s="196" t="s">
        <v>414</v>
      </c>
      <c r="V266" s="196" t="s">
        <v>415</v>
      </c>
      <c r="W266" s="196" t="s">
        <v>416</v>
      </c>
      <c r="X266" s="196" t="s">
        <v>413</v>
      </c>
      <c r="Y266" s="196" t="s">
        <v>414</v>
      </c>
      <c r="Z266" s="196" t="s">
        <v>415</v>
      </c>
      <c r="AA266" s="196" t="s">
        <v>416</v>
      </c>
      <c r="AB266" s="196" t="s">
        <v>413</v>
      </c>
      <c r="AC266" s="196" t="s">
        <v>414</v>
      </c>
      <c r="AD266" s="196" t="s">
        <v>415</v>
      </c>
      <c r="AE266" s="196" t="s">
        <v>416</v>
      </c>
      <c r="AF266" s="196" t="s">
        <v>413</v>
      </c>
      <c r="AG266" s="196" t="s">
        <v>414</v>
      </c>
      <c r="AH266" s="196" t="s">
        <v>415</v>
      </c>
      <c r="AI266" s="196" t="s">
        <v>416</v>
      </c>
      <c r="AJ266" s="196" t="s">
        <v>413</v>
      </c>
      <c r="AK266" s="196" t="s">
        <v>414</v>
      </c>
      <c r="AL266" s="196" t="s">
        <v>415</v>
      </c>
      <c r="AM266" s="196" t="s">
        <v>416</v>
      </c>
      <c r="AN266" s="196" t="s">
        <v>413</v>
      </c>
      <c r="AO266" s="196" t="s">
        <v>414</v>
      </c>
      <c r="AP266" s="196" t="s">
        <v>415</v>
      </c>
      <c r="AQ266" s="196" t="s">
        <v>416</v>
      </c>
      <c r="AR266" s="202" t="s">
        <v>413</v>
      </c>
      <c r="AS266" s="202" t="s">
        <v>414</v>
      </c>
      <c r="AT266" s="202" t="s">
        <v>415</v>
      </c>
      <c r="AU266" s="203" t="s">
        <v>416</v>
      </c>
      <c r="AV266" s="204" t="s">
        <v>413</v>
      </c>
      <c r="AW266" s="202" t="s">
        <v>414</v>
      </c>
      <c r="AX266" s="202" t="s">
        <v>415</v>
      </c>
      <c r="AY266" s="205" t="s">
        <v>416</v>
      </c>
    </row>
    <row r="267" spans="17:51">
      <c r="Q267" s="1029" t="s">
        <v>382</v>
      </c>
      <c r="R267" s="1029" t="s">
        <v>383</v>
      </c>
      <c r="S267" s="196" t="s">
        <v>384</v>
      </c>
      <c r="T267" s="198">
        <v>0.14208000000000001</v>
      </c>
      <c r="U267" s="198">
        <v>0.14024</v>
      </c>
      <c r="V267" s="198">
        <v>4.3200000000000001E-6</v>
      </c>
      <c r="W267" s="198">
        <v>1.8400000000000001E-3</v>
      </c>
      <c r="X267" s="198">
        <v>0.15371000000000001</v>
      </c>
      <c r="Y267" s="198">
        <v>0.15301000000000001</v>
      </c>
      <c r="Z267" s="198">
        <v>3.2000000000000003E-4</v>
      </c>
      <c r="AA267" s="198">
        <v>3.8000000000000002E-4</v>
      </c>
      <c r="AB267" s="198">
        <v>0.1052</v>
      </c>
      <c r="AC267" s="198">
        <v>0.10409</v>
      </c>
      <c r="AD267" s="198">
        <v>2.1000000000000001E-4</v>
      </c>
      <c r="AE267" s="198">
        <v>8.9999999999999998E-4</v>
      </c>
      <c r="AF267" s="200"/>
      <c r="AG267" s="200"/>
      <c r="AH267" s="200"/>
      <c r="AI267" s="200"/>
      <c r="AJ267" s="200"/>
      <c r="AK267" s="200"/>
      <c r="AL267" s="200"/>
      <c r="AM267" s="200"/>
      <c r="AN267" s="198">
        <v>0.14957999999999999</v>
      </c>
      <c r="AO267" s="198">
        <v>0.14846999999999999</v>
      </c>
      <c r="AP267" s="198">
        <v>2.1000000000000001E-4</v>
      </c>
      <c r="AQ267" s="198">
        <v>8.9999999999999998E-4</v>
      </c>
      <c r="AR267" s="206">
        <v>7.3470000000000008E-2</v>
      </c>
      <c r="AS267" s="206">
        <v>7.2950000000000001E-2</v>
      </c>
      <c r="AT267" s="206">
        <v>2.0000000000000001E-4</v>
      </c>
      <c r="AU267" s="206">
        <v>3.2000000000000003E-4</v>
      </c>
      <c r="AV267" s="206">
        <v>4.956E-2</v>
      </c>
      <c r="AW267" s="206">
        <v>4.9160000000000002E-2</v>
      </c>
      <c r="AX267" s="206">
        <v>1.2999999999999999E-4</v>
      </c>
      <c r="AY267" s="206">
        <v>2.7E-4</v>
      </c>
    </row>
    <row r="268" spans="17:51">
      <c r="Q268" s="1029"/>
      <c r="R268" s="1029"/>
      <c r="S268" s="196" t="s">
        <v>385</v>
      </c>
      <c r="T268" s="198">
        <v>0.22868000000000002</v>
      </c>
      <c r="U268" s="198">
        <v>0.22570000000000001</v>
      </c>
      <c r="V268" s="198">
        <v>1.0000000000000001E-5</v>
      </c>
      <c r="W268" s="198">
        <v>2.97E-3</v>
      </c>
      <c r="X268" s="198">
        <v>0.24736</v>
      </c>
      <c r="Y268" s="198">
        <v>0.24623999999999999</v>
      </c>
      <c r="Z268" s="198">
        <v>5.1000000000000004E-4</v>
      </c>
      <c r="AA268" s="198">
        <v>6.0999999999999997E-4</v>
      </c>
      <c r="AB268" s="198">
        <v>0.16930000000000001</v>
      </c>
      <c r="AC268" s="198">
        <v>0.16752</v>
      </c>
      <c r="AD268" s="198">
        <v>3.3E-4</v>
      </c>
      <c r="AE268" s="198">
        <v>1.4499999999999999E-3</v>
      </c>
      <c r="AF268" s="200"/>
      <c r="AG268" s="200"/>
      <c r="AH268" s="200"/>
      <c r="AI268" s="200"/>
      <c r="AJ268" s="200"/>
      <c r="AK268" s="200"/>
      <c r="AL268" s="200"/>
      <c r="AM268" s="200"/>
      <c r="AN268" s="198">
        <v>0.24072000000000002</v>
      </c>
      <c r="AO268" s="198">
        <v>0.23894000000000001</v>
      </c>
      <c r="AP268" s="198">
        <v>3.3E-4</v>
      </c>
      <c r="AQ268" s="198">
        <v>1.4499999999999999E-3</v>
      </c>
      <c r="AR268" s="206">
        <v>0.11823</v>
      </c>
      <c r="AS268" s="206">
        <v>0.1174</v>
      </c>
      <c r="AT268" s="206">
        <v>3.2000000000000003E-4</v>
      </c>
      <c r="AU268" s="206">
        <v>5.1000000000000004E-4</v>
      </c>
      <c r="AV268" s="206">
        <v>7.9750000000000001E-2</v>
      </c>
      <c r="AW268" s="206">
        <v>7.9119999999999996E-2</v>
      </c>
      <c r="AX268" s="206">
        <v>2.0000000000000001E-4</v>
      </c>
      <c r="AY268" s="206">
        <v>4.2999999999999999E-4</v>
      </c>
    </row>
    <row r="269" spans="17:51">
      <c r="Q269" s="1029"/>
      <c r="R269" s="1029" t="s">
        <v>386</v>
      </c>
      <c r="S269" s="196" t="s">
        <v>384</v>
      </c>
      <c r="T269" s="198">
        <v>0.17061000000000001</v>
      </c>
      <c r="U269" s="198">
        <v>0.16877</v>
      </c>
      <c r="V269" s="198">
        <v>4.3200000000000001E-6</v>
      </c>
      <c r="W269" s="198">
        <v>1.8400000000000001E-3</v>
      </c>
      <c r="X269" s="198">
        <v>0.19228000000000001</v>
      </c>
      <c r="Y269" s="198">
        <v>0.19158</v>
      </c>
      <c r="Z269" s="198">
        <v>3.2000000000000003E-4</v>
      </c>
      <c r="AA269" s="198">
        <v>3.8000000000000002E-4</v>
      </c>
      <c r="AB269" s="198">
        <v>0.10895000000000001</v>
      </c>
      <c r="AC269" s="198">
        <v>0.10764</v>
      </c>
      <c r="AD269" s="198">
        <v>1.4999999999999999E-4</v>
      </c>
      <c r="AE269" s="198">
        <v>1.16E-3</v>
      </c>
      <c r="AF269" s="198">
        <v>0.16175999999999999</v>
      </c>
      <c r="AG269" s="198">
        <v>0.15972</v>
      </c>
      <c r="AH269" s="198">
        <v>1.5900000000000001E-3</v>
      </c>
      <c r="AI269" s="198">
        <v>4.4999999999999999E-4</v>
      </c>
      <c r="AJ269" s="198">
        <v>0.18065999999999999</v>
      </c>
      <c r="AK269" s="198">
        <v>0.18015999999999999</v>
      </c>
      <c r="AL269" s="198">
        <v>5.0000000000000002E-5</v>
      </c>
      <c r="AM269" s="198">
        <v>4.4999999999999999E-4</v>
      </c>
      <c r="AN269" s="198">
        <v>0.18071000000000001</v>
      </c>
      <c r="AO269" s="198">
        <v>0.1794</v>
      </c>
      <c r="AP269" s="198">
        <v>1.4999999999999999E-4</v>
      </c>
      <c r="AQ269" s="198">
        <v>1.16E-3</v>
      </c>
      <c r="AR269" s="206">
        <v>0.10998000000000001</v>
      </c>
      <c r="AS269" s="206">
        <v>0.10924</v>
      </c>
      <c r="AT269" s="206">
        <v>3.1E-4</v>
      </c>
      <c r="AU269" s="206">
        <v>4.2999999999999999E-4</v>
      </c>
      <c r="AV269" s="206">
        <v>5.7689999999999998E-2</v>
      </c>
      <c r="AW269" s="206">
        <v>5.7230000000000003E-2</v>
      </c>
      <c r="AX269" s="206">
        <v>1.4999999999999999E-4</v>
      </c>
      <c r="AY269" s="206">
        <v>3.1E-4</v>
      </c>
    </row>
    <row r="270" spans="17:51">
      <c r="Q270" s="1029"/>
      <c r="R270" s="1029"/>
      <c r="S270" s="196" t="s">
        <v>385</v>
      </c>
      <c r="T270" s="198">
        <v>0.27459</v>
      </c>
      <c r="U270" s="198">
        <v>0.27161000000000002</v>
      </c>
      <c r="V270" s="198">
        <v>1.0000000000000001E-5</v>
      </c>
      <c r="W270" s="198">
        <v>2.97E-3</v>
      </c>
      <c r="X270" s="198">
        <v>0.30945</v>
      </c>
      <c r="Y270" s="198">
        <v>0.30832999999999999</v>
      </c>
      <c r="Z270" s="198">
        <v>5.1000000000000004E-4</v>
      </c>
      <c r="AA270" s="198">
        <v>6.0999999999999997E-4</v>
      </c>
      <c r="AB270" s="198">
        <v>0.17534</v>
      </c>
      <c r="AC270" s="198">
        <v>0.17323</v>
      </c>
      <c r="AD270" s="198">
        <v>2.4000000000000001E-4</v>
      </c>
      <c r="AE270" s="198">
        <v>1.8699999999999999E-3</v>
      </c>
      <c r="AF270" s="198">
        <v>0.26034000000000002</v>
      </c>
      <c r="AG270" s="198">
        <v>0.25705</v>
      </c>
      <c r="AH270" s="198">
        <v>2.5699999999999998E-3</v>
      </c>
      <c r="AI270" s="198">
        <v>7.2000000000000005E-4</v>
      </c>
      <c r="AJ270" s="198">
        <v>0.29073000000000004</v>
      </c>
      <c r="AK270" s="198">
        <v>0.28993000000000002</v>
      </c>
      <c r="AL270" s="198">
        <v>8.0000000000000007E-5</v>
      </c>
      <c r="AM270" s="198">
        <v>7.2000000000000005E-4</v>
      </c>
      <c r="AN270" s="198">
        <v>0.29082000000000002</v>
      </c>
      <c r="AO270" s="198">
        <v>0.28871000000000002</v>
      </c>
      <c r="AP270" s="198">
        <v>2.4000000000000001E-4</v>
      </c>
      <c r="AQ270" s="198">
        <v>1.8699999999999999E-3</v>
      </c>
      <c r="AR270" s="206">
        <v>0.17699000000000001</v>
      </c>
      <c r="AS270" s="206">
        <v>0.17580000000000001</v>
      </c>
      <c r="AT270" s="206">
        <v>5.0000000000000001E-4</v>
      </c>
      <c r="AU270" s="206">
        <v>6.8999999999999997E-4</v>
      </c>
      <c r="AV270" s="206">
        <v>9.282E-2</v>
      </c>
      <c r="AW270" s="206">
        <v>9.2090000000000005E-2</v>
      </c>
      <c r="AX270" s="206">
        <v>2.3000000000000001E-4</v>
      </c>
      <c r="AY270" s="206">
        <v>5.0000000000000001E-4</v>
      </c>
    </row>
    <row r="271" spans="17:51">
      <c r="Q271" s="1029"/>
      <c r="R271" s="1029" t="s">
        <v>387</v>
      </c>
      <c r="S271" s="196" t="s">
        <v>384</v>
      </c>
      <c r="T271" s="198">
        <v>0.20946999999999999</v>
      </c>
      <c r="U271" s="198">
        <v>0.20763000000000001</v>
      </c>
      <c r="V271" s="198">
        <v>4.3200000000000001E-6</v>
      </c>
      <c r="W271" s="198">
        <v>1.8400000000000001E-3</v>
      </c>
      <c r="X271" s="198">
        <v>0.28294999999999998</v>
      </c>
      <c r="Y271" s="198">
        <v>0.28225</v>
      </c>
      <c r="Z271" s="198">
        <v>3.2000000000000003E-4</v>
      </c>
      <c r="AA271" s="198">
        <v>3.8000000000000002E-4</v>
      </c>
      <c r="AB271" s="198">
        <v>0.13177</v>
      </c>
      <c r="AC271" s="198">
        <v>0.13022</v>
      </c>
      <c r="AD271" s="198">
        <v>9.0000000000000006E-5</v>
      </c>
      <c r="AE271" s="198">
        <v>1.4599999999999999E-3</v>
      </c>
      <c r="AF271" s="198">
        <v>0.23735000000000001</v>
      </c>
      <c r="AG271" s="198">
        <v>0.23530999999999999</v>
      </c>
      <c r="AH271" s="198">
        <v>1.5900000000000001E-3</v>
      </c>
      <c r="AI271" s="198">
        <v>4.4999999999999999E-4</v>
      </c>
      <c r="AJ271" s="198">
        <v>0.26590999999999998</v>
      </c>
      <c r="AK271" s="198">
        <v>0.26540999999999998</v>
      </c>
      <c r="AL271" s="198">
        <v>5.0000000000000002E-5</v>
      </c>
      <c r="AM271" s="198">
        <v>4.4999999999999999E-4</v>
      </c>
      <c r="AN271" s="198">
        <v>0.22857</v>
      </c>
      <c r="AO271" s="198">
        <v>0.22702</v>
      </c>
      <c r="AP271" s="198">
        <v>9.0000000000000006E-5</v>
      </c>
      <c r="AQ271" s="198">
        <v>1.4599999999999999E-3</v>
      </c>
      <c r="AR271" s="206">
        <v>0.12567</v>
      </c>
      <c r="AS271" s="206">
        <v>0.12483</v>
      </c>
      <c r="AT271" s="206">
        <v>3.6000000000000002E-4</v>
      </c>
      <c r="AU271" s="206">
        <v>4.8000000000000001E-4</v>
      </c>
      <c r="AV271" s="206">
        <v>7.2559999999999999E-2</v>
      </c>
      <c r="AW271" s="206">
        <v>7.1989999999999998E-2</v>
      </c>
      <c r="AX271" s="206">
        <v>1.8000000000000001E-4</v>
      </c>
      <c r="AY271" s="206">
        <v>3.8999999999999999E-4</v>
      </c>
    </row>
    <row r="272" spans="17:51">
      <c r="Q272" s="1029"/>
      <c r="R272" s="1029"/>
      <c r="S272" s="196" t="s">
        <v>385</v>
      </c>
      <c r="T272" s="198">
        <v>0.33712999999999999</v>
      </c>
      <c r="U272" s="198">
        <v>0.33415</v>
      </c>
      <c r="V272" s="198">
        <v>1.0000000000000001E-5</v>
      </c>
      <c r="W272" s="198">
        <v>2.97E-3</v>
      </c>
      <c r="X272" s="198">
        <v>0.45535999999999999</v>
      </c>
      <c r="Y272" s="198">
        <v>0.45423999999999998</v>
      </c>
      <c r="Z272" s="198">
        <v>5.1000000000000004E-4</v>
      </c>
      <c r="AA272" s="198">
        <v>6.0999999999999997E-4</v>
      </c>
      <c r="AB272" s="198">
        <v>0.21207000000000001</v>
      </c>
      <c r="AC272" s="198">
        <v>0.20957000000000001</v>
      </c>
      <c r="AD272" s="198">
        <v>1.3999999999999999E-4</v>
      </c>
      <c r="AE272" s="198">
        <v>2.3600000000000001E-3</v>
      </c>
      <c r="AF272" s="198">
        <v>0.38198000000000004</v>
      </c>
      <c r="AG272" s="198">
        <v>0.37869000000000003</v>
      </c>
      <c r="AH272" s="198">
        <v>2.5699999999999998E-3</v>
      </c>
      <c r="AI272" s="198">
        <v>7.2000000000000005E-4</v>
      </c>
      <c r="AJ272" s="198">
        <v>0.42794000000000004</v>
      </c>
      <c r="AK272" s="198">
        <v>0.42714000000000002</v>
      </c>
      <c r="AL272" s="198">
        <v>8.0000000000000007E-5</v>
      </c>
      <c r="AM272" s="198">
        <v>7.2000000000000005E-4</v>
      </c>
      <c r="AN272" s="198">
        <v>0.36784999999999995</v>
      </c>
      <c r="AO272" s="198">
        <v>0.36535000000000001</v>
      </c>
      <c r="AP272" s="198">
        <v>1.3999999999999999E-4</v>
      </c>
      <c r="AQ272" s="198">
        <v>2.3600000000000001E-3</v>
      </c>
      <c r="AR272" s="206">
        <v>0.20224999999999999</v>
      </c>
      <c r="AS272" s="206">
        <v>0.2009</v>
      </c>
      <c r="AT272" s="206">
        <v>5.6999999999999998E-4</v>
      </c>
      <c r="AU272" s="206">
        <v>7.7999999999999999E-4</v>
      </c>
      <c r="AV272" s="206">
        <v>0.11677</v>
      </c>
      <c r="AW272" s="206">
        <v>0.11584999999999999</v>
      </c>
      <c r="AX272" s="206">
        <v>2.9E-4</v>
      </c>
      <c r="AY272" s="206">
        <v>6.3000000000000003E-4</v>
      </c>
    </row>
    <row r="273" spans="17:51">
      <c r="Q273" s="1029"/>
      <c r="R273" s="1029" t="s">
        <v>388</v>
      </c>
      <c r="S273" s="196" t="s">
        <v>384</v>
      </c>
      <c r="T273" s="198">
        <v>0.17335999999999999</v>
      </c>
      <c r="U273" s="198">
        <v>0.17152000000000001</v>
      </c>
      <c r="V273" s="198">
        <v>4.3200000000000001E-6</v>
      </c>
      <c r="W273" s="198">
        <v>1.8400000000000001E-3</v>
      </c>
      <c r="X273" s="198">
        <v>0.18084</v>
      </c>
      <c r="Y273" s="198">
        <v>0.18013999999999999</v>
      </c>
      <c r="Z273" s="198">
        <v>3.2000000000000003E-4</v>
      </c>
      <c r="AA273" s="198">
        <v>3.8000000000000002E-4</v>
      </c>
      <c r="AB273" s="198">
        <v>0.11473</v>
      </c>
      <c r="AC273" s="198">
        <v>0.11346000000000001</v>
      </c>
      <c r="AD273" s="198">
        <v>1.6000000000000001E-4</v>
      </c>
      <c r="AE273" s="198">
        <v>1.1100000000000001E-3</v>
      </c>
      <c r="AF273" s="198">
        <v>0.17802999999999999</v>
      </c>
      <c r="AG273" s="198">
        <v>0.17599000000000001</v>
      </c>
      <c r="AH273" s="198">
        <v>1.5900000000000001E-3</v>
      </c>
      <c r="AI273" s="198">
        <v>4.4999999999999999E-4</v>
      </c>
      <c r="AJ273" s="198">
        <v>0.19900999999999999</v>
      </c>
      <c r="AK273" s="198">
        <v>0.19850999999999999</v>
      </c>
      <c r="AL273" s="198">
        <v>5.0000000000000002E-5</v>
      </c>
      <c r="AM273" s="198">
        <v>4.4999999999999999E-4</v>
      </c>
      <c r="AN273" s="198">
        <v>0.17710000000000001</v>
      </c>
      <c r="AO273" s="198">
        <v>0.17582999999999999</v>
      </c>
      <c r="AP273" s="198">
        <v>1.6000000000000001E-4</v>
      </c>
      <c r="AQ273" s="198">
        <v>1.1100000000000001E-3</v>
      </c>
      <c r="AR273" s="206">
        <v>0.11532000000000001</v>
      </c>
      <c r="AS273" s="206">
        <v>0.11454</v>
      </c>
      <c r="AT273" s="206">
        <v>3.3E-4</v>
      </c>
      <c r="AU273" s="206">
        <v>4.4999999999999999E-4</v>
      </c>
      <c r="AV273" s="206">
        <v>6.0199999999999997E-2</v>
      </c>
      <c r="AW273" s="206">
        <v>5.9729999999999998E-2</v>
      </c>
      <c r="AX273" s="206">
        <v>1.4999999999999999E-4</v>
      </c>
      <c r="AY273" s="206">
        <v>3.2000000000000003E-4</v>
      </c>
    </row>
    <row r="274" spans="17:51">
      <c r="Q274" s="1029"/>
      <c r="R274" s="1029"/>
      <c r="S274" s="196" t="s">
        <v>385</v>
      </c>
      <c r="T274" s="198">
        <v>0.27900999999999998</v>
      </c>
      <c r="U274" s="198">
        <v>0.27603</v>
      </c>
      <c r="V274" s="198">
        <v>1.0000000000000001E-5</v>
      </c>
      <c r="W274" s="198">
        <v>2.97E-3</v>
      </c>
      <c r="X274" s="198">
        <v>0.29103000000000001</v>
      </c>
      <c r="Y274" s="198">
        <v>0.28991</v>
      </c>
      <c r="Z274" s="198">
        <v>5.1000000000000004E-4</v>
      </c>
      <c r="AA274" s="198">
        <v>6.0999999999999997E-4</v>
      </c>
      <c r="AB274" s="198">
        <v>0.18464000000000003</v>
      </c>
      <c r="AC274" s="198">
        <v>0.18259</v>
      </c>
      <c r="AD274" s="198">
        <v>2.5999999999999998E-4</v>
      </c>
      <c r="AE274" s="198">
        <v>1.7899999999999999E-3</v>
      </c>
      <c r="AF274" s="198">
        <v>0.28653000000000001</v>
      </c>
      <c r="AG274" s="198">
        <v>0.28323999999999999</v>
      </c>
      <c r="AH274" s="198">
        <v>2.5699999999999998E-3</v>
      </c>
      <c r="AI274" s="198">
        <v>7.2000000000000005E-4</v>
      </c>
      <c r="AJ274" s="198">
        <v>0.32027</v>
      </c>
      <c r="AK274" s="198">
        <v>0.31946999999999998</v>
      </c>
      <c r="AL274" s="198">
        <v>8.0000000000000007E-5</v>
      </c>
      <c r="AM274" s="198">
        <v>7.2000000000000005E-4</v>
      </c>
      <c r="AN274" s="198">
        <v>0.28502</v>
      </c>
      <c r="AO274" s="198">
        <v>0.28297</v>
      </c>
      <c r="AP274" s="198">
        <v>2.5999999999999998E-4</v>
      </c>
      <c r="AQ274" s="198">
        <v>1.7899999999999999E-3</v>
      </c>
      <c r="AR274" s="206">
        <v>0.18559</v>
      </c>
      <c r="AS274" s="206">
        <v>0.18434</v>
      </c>
      <c r="AT274" s="206">
        <v>5.2999999999999998E-4</v>
      </c>
      <c r="AU274" s="206">
        <v>7.2000000000000005E-4</v>
      </c>
      <c r="AV274" s="206">
        <v>9.6880000000000008E-2</v>
      </c>
      <c r="AW274" s="206">
        <v>9.6119999999999997E-2</v>
      </c>
      <c r="AX274" s="206">
        <v>2.4000000000000001E-4</v>
      </c>
      <c r="AY274" s="206">
        <v>5.1999999999999995E-4</v>
      </c>
    </row>
    <row r="275" spans="17:51">
      <c r="Q275" s="194"/>
      <c r="R275" s="194"/>
      <c r="S275" s="194"/>
      <c r="T275" s="194"/>
      <c r="U275" s="194"/>
      <c r="V275" s="194"/>
      <c r="W275" s="194"/>
      <c r="X275" s="194"/>
      <c r="Y275" s="194"/>
      <c r="Z275" s="194"/>
      <c r="AA275" s="194"/>
      <c r="AB275" s="194"/>
      <c r="AC275" s="194"/>
      <c r="AD275" s="194"/>
      <c r="AE275" s="194"/>
      <c r="AF275" s="194"/>
      <c r="AG275" s="194"/>
      <c r="AH275" s="194"/>
      <c r="AI275" s="194"/>
      <c r="AJ275" s="194"/>
      <c r="AK275" s="194"/>
      <c r="AL275" s="194"/>
      <c r="AM275" s="194"/>
      <c r="AN275" s="194"/>
      <c r="AO275" s="194"/>
      <c r="AP275" s="194"/>
      <c r="AQ275" s="194"/>
      <c r="AR275" s="194"/>
      <c r="AS275" s="194"/>
      <c r="AT275" s="194"/>
      <c r="AU275" s="194"/>
      <c r="AV275" s="194"/>
      <c r="AW275" s="194"/>
      <c r="AX275" s="194"/>
      <c r="AY275" s="194"/>
    </row>
    <row r="276" spans="17:51">
      <c r="Q276" s="194"/>
      <c r="R276" s="194"/>
      <c r="S276" s="194"/>
      <c r="T276" s="194"/>
      <c r="U276" s="194"/>
      <c r="V276" s="194"/>
      <c r="W276" s="194"/>
      <c r="X276" s="194"/>
      <c r="Y276" s="194"/>
      <c r="Z276" s="194"/>
      <c r="AA276" s="194"/>
      <c r="AB276" s="194"/>
      <c r="AC276" s="194"/>
      <c r="AD276" s="194"/>
      <c r="AE276" s="194"/>
      <c r="AF276" s="194"/>
      <c r="AG276" s="194"/>
      <c r="AH276" s="194"/>
      <c r="AI276" s="194"/>
      <c r="AJ276" s="194"/>
      <c r="AK276" s="194"/>
      <c r="AL276" s="194"/>
      <c r="AM276" s="194"/>
      <c r="AN276" s="194"/>
      <c r="AO276" s="194"/>
      <c r="AP276" s="194"/>
      <c r="AQ276" s="194"/>
      <c r="AR276" s="194"/>
      <c r="AS276" s="194"/>
      <c r="AT276" s="194"/>
      <c r="AU276" s="194"/>
      <c r="AV276" s="194"/>
      <c r="AW276" s="194"/>
      <c r="AX276" s="194"/>
      <c r="AY276" s="194"/>
    </row>
    <row r="277" spans="17:51">
      <c r="Q277" s="194"/>
      <c r="R277" s="194"/>
      <c r="S277" s="194"/>
      <c r="T277" s="194"/>
      <c r="U277" s="194"/>
      <c r="V277" s="194"/>
      <c r="W277" s="194"/>
      <c r="X277" s="194"/>
      <c r="Y277" s="194"/>
      <c r="Z277" s="194"/>
      <c r="AA277" s="194"/>
      <c r="AB277" s="194"/>
      <c r="AC277" s="194"/>
      <c r="AD277" s="194"/>
      <c r="AE277" s="194"/>
      <c r="AF277" s="194"/>
      <c r="AG277" s="194"/>
      <c r="AH277" s="194"/>
      <c r="AI277" s="194"/>
      <c r="AJ277" s="194"/>
      <c r="AK277" s="194"/>
      <c r="AL277" s="194"/>
      <c r="AM277" s="194"/>
      <c r="AN277" s="194"/>
      <c r="AO277" s="194"/>
      <c r="AP277" s="194"/>
      <c r="AQ277" s="194"/>
      <c r="AR277" s="194"/>
      <c r="AS277" s="194"/>
      <c r="AT277" s="194"/>
      <c r="AU277" s="194"/>
      <c r="AV277" s="194"/>
      <c r="AW277" s="194"/>
      <c r="AX277" s="194"/>
      <c r="AY277" s="194"/>
    </row>
    <row r="278" spans="17:51" ht="18">
      <c r="Q278" s="195" t="s">
        <v>354</v>
      </c>
      <c r="R278" s="195" t="s">
        <v>369</v>
      </c>
      <c r="S278" s="195" t="s">
        <v>194</v>
      </c>
      <c r="T278" s="196" t="s">
        <v>413</v>
      </c>
      <c r="U278" s="196" t="s">
        <v>414</v>
      </c>
      <c r="V278" s="196" t="s">
        <v>415</v>
      </c>
      <c r="W278" s="196" t="s">
        <v>416</v>
      </c>
      <c r="X278" s="194"/>
      <c r="Y278" s="194"/>
      <c r="Z278" s="194"/>
      <c r="AA278" s="194"/>
      <c r="AB278" s="194"/>
      <c r="AC278" s="194"/>
      <c r="AD278" s="194"/>
      <c r="AE278" s="194"/>
      <c r="AF278" s="194"/>
      <c r="AG278" s="194"/>
      <c r="AH278" s="194"/>
      <c r="AI278" s="194"/>
      <c r="AJ278" s="194"/>
      <c r="AK278" s="194"/>
      <c r="AL278" s="194"/>
      <c r="AM278" s="194"/>
      <c r="AN278" s="194"/>
      <c r="AO278" s="194"/>
      <c r="AP278" s="194"/>
      <c r="AQ278" s="194"/>
      <c r="AR278" s="194"/>
      <c r="AS278" s="194"/>
      <c r="AT278" s="194"/>
      <c r="AU278" s="194"/>
      <c r="AV278" s="194"/>
      <c r="AW278" s="194"/>
      <c r="AX278" s="194"/>
      <c r="AY278" s="194"/>
    </row>
    <row r="279" spans="17:51">
      <c r="Q279" s="1029" t="s">
        <v>389</v>
      </c>
      <c r="R279" s="1029" t="s">
        <v>390</v>
      </c>
      <c r="S279" s="196" t="s">
        <v>384</v>
      </c>
      <c r="T279" s="201">
        <v>8.4449999999999997E-2</v>
      </c>
      <c r="U279" s="201">
        <v>8.2409999999999997E-2</v>
      </c>
      <c r="V279" s="201">
        <v>1.74E-3</v>
      </c>
      <c r="W279" s="201">
        <v>2.9999999999999997E-4</v>
      </c>
      <c r="X279" s="194"/>
      <c r="Y279" s="194"/>
      <c r="Z279" s="194"/>
      <c r="AA279" s="194"/>
      <c r="AB279" s="194"/>
      <c r="AC279" s="194"/>
      <c r="AD279" s="194"/>
      <c r="AE279" s="194"/>
      <c r="AF279" s="194"/>
      <c r="AG279" s="194"/>
      <c r="AH279" s="194"/>
      <c r="AI279" s="194"/>
      <c r="AJ279" s="194"/>
      <c r="AK279" s="194"/>
      <c r="AL279" s="194"/>
      <c r="AM279" s="194"/>
      <c r="AN279" s="194"/>
      <c r="AO279" s="194"/>
      <c r="AP279" s="194"/>
      <c r="AQ279" s="194"/>
      <c r="AR279" s="194"/>
      <c r="AS279" s="194"/>
      <c r="AT279" s="194"/>
      <c r="AU279" s="194"/>
      <c r="AV279" s="194"/>
      <c r="AW279" s="194"/>
      <c r="AX279" s="194"/>
      <c r="AY279" s="194"/>
    </row>
    <row r="280" spans="17:51">
      <c r="Q280" s="1029"/>
      <c r="R280" s="1029"/>
      <c r="S280" s="196" t="s">
        <v>385</v>
      </c>
      <c r="T280" s="201">
        <v>0.13591</v>
      </c>
      <c r="U280" s="201">
        <v>0.13263</v>
      </c>
      <c r="V280" s="201">
        <v>2.8E-3</v>
      </c>
      <c r="W280" s="201">
        <v>4.8000000000000001E-4</v>
      </c>
      <c r="X280" s="194"/>
      <c r="Y280" s="194"/>
      <c r="Z280" s="194"/>
      <c r="AA280" s="194"/>
      <c r="AB280" s="194"/>
      <c r="AC280" s="194"/>
      <c r="AD280" s="194"/>
      <c r="AE280" s="194"/>
      <c r="AF280" s="194"/>
      <c r="AG280" s="194"/>
      <c r="AH280" s="194"/>
      <c r="AI280" s="194"/>
      <c r="AJ280" s="194"/>
      <c r="AK280" s="194"/>
      <c r="AL280" s="194"/>
      <c r="AM280" s="194"/>
      <c r="AN280" s="194"/>
      <c r="AO280" s="194"/>
      <c r="AP280" s="194"/>
      <c r="AQ280" s="194"/>
      <c r="AR280" s="194"/>
      <c r="AS280" s="194"/>
      <c r="AT280" s="194"/>
      <c r="AU280" s="194"/>
      <c r="AV280" s="194"/>
      <c r="AW280" s="194"/>
      <c r="AX280" s="194"/>
      <c r="AY280" s="194"/>
    </row>
    <row r="281" spans="17:51">
      <c r="Q281" s="1029"/>
      <c r="R281" s="1029" t="s">
        <v>391</v>
      </c>
      <c r="S281" s="196" t="s">
        <v>384</v>
      </c>
      <c r="T281" s="201">
        <v>0.10289000000000001</v>
      </c>
      <c r="U281" s="201">
        <v>0.10004</v>
      </c>
      <c r="V281" s="201">
        <v>2.2499999999999998E-3</v>
      </c>
      <c r="W281" s="201">
        <v>5.9999999999999995E-4</v>
      </c>
      <c r="X281" s="194"/>
      <c r="Y281" s="194"/>
      <c r="Z281" s="194"/>
      <c r="AA281" s="194"/>
      <c r="AB281" s="194"/>
      <c r="AC281" s="194"/>
      <c r="AD281" s="194"/>
      <c r="AE281" s="194"/>
      <c r="AF281" s="194"/>
      <c r="AG281" s="194"/>
      <c r="AH281" s="194"/>
      <c r="AI281" s="194"/>
      <c r="AJ281" s="194"/>
      <c r="AK281" s="194"/>
      <c r="AL281" s="194"/>
      <c r="AM281" s="194"/>
      <c r="AN281" s="194"/>
      <c r="AO281" s="194"/>
      <c r="AP281" s="194"/>
      <c r="AQ281" s="194"/>
      <c r="AR281" s="194"/>
      <c r="AS281" s="194"/>
      <c r="AT281" s="194"/>
      <c r="AU281" s="194"/>
      <c r="AV281" s="194"/>
      <c r="AW281" s="194"/>
      <c r="AX281" s="194"/>
      <c r="AY281" s="194"/>
    </row>
    <row r="282" spans="17:51">
      <c r="Q282" s="1029"/>
      <c r="R282" s="1029"/>
      <c r="S282" s="196" t="s">
        <v>385</v>
      </c>
      <c r="T282" s="201">
        <v>0.16559000000000001</v>
      </c>
      <c r="U282" s="201">
        <v>0.161</v>
      </c>
      <c r="V282" s="201">
        <v>3.62E-3</v>
      </c>
      <c r="W282" s="201">
        <v>9.7000000000000005E-4</v>
      </c>
      <c r="X282" s="194"/>
      <c r="Y282" s="194"/>
      <c r="Z282" s="194"/>
      <c r="AA282" s="194"/>
      <c r="AB282" s="194"/>
      <c r="AC282" s="194"/>
      <c r="AD282" s="194"/>
      <c r="AE282" s="194"/>
      <c r="AF282" s="194"/>
      <c r="AG282" s="194"/>
      <c r="AH282" s="194"/>
      <c r="AI282" s="194"/>
      <c r="AJ282" s="194"/>
      <c r="AK282" s="194"/>
      <c r="AL282" s="194"/>
      <c r="AM282" s="194"/>
      <c r="AN282" s="194"/>
      <c r="AO282" s="194"/>
      <c r="AP282" s="194"/>
      <c r="AQ282" s="194"/>
      <c r="AR282" s="194"/>
      <c r="AS282" s="194"/>
      <c r="AT282" s="194"/>
      <c r="AU282" s="194"/>
      <c r="AV282" s="194"/>
      <c r="AW282" s="194"/>
      <c r="AX282" s="194"/>
      <c r="AY282" s="194"/>
    </row>
    <row r="283" spans="17:51">
      <c r="Q283" s="1029"/>
      <c r="R283" s="1029" t="s">
        <v>392</v>
      </c>
      <c r="S283" s="196" t="s">
        <v>384</v>
      </c>
      <c r="T283" s="201">
        <v>0.13500999999999999</v>
      </c>
      <c r="U283" s="201">
        <v>0.13308</v>
      </c>
      <c r="V283" s="201">
        <v>1.33E-3</v>
      </c>
      <c r="W283" s="201">
        <v>5.9999999999999995E-4</v>
      </c>
      <c r="X283" s="194"/>
      <c r="Y283" s="194"/>
      <c r="Z283" s="194"/>
      <c r="AA283" s="194"/>
      <c r="AB283" s="194"/>
      <c r="AC283" s="194"/>
      <c r="AD283" s="194"/>
      <c r="AE283" s="194"/>
      <c r="AF283" s="194"/>
      <c r="AG283" s="194"/>
      <c r="AH283" s="194"/>
      <c r="AI283" s="194"/>
      <c r="AJ283" s="194"/>
      <c r="AK283" s="194"/>
      <c r="AL283" s="194"/>
      <c r="AM283" s="194"/>
      <c r="AN283" s="194"/>
      <c r="AO283" s="194"/>
      <c r="AP283" s="194"/>
      <c r="AQ283" s="194"/>
      <c r="AR283" s="194"/>
      <c r="AS283" s="194"/>
      <c r="AT283" s="194"/>
      <c r="AU283" s="194"/>
      <c r="AV283" s="194"/>
      <c r="AW283" s="194"/>
      <c r="AX283" s="194"/>
      <c r="AY283" s="194"/>
    </row>
    <row r="284" spans="17:51">
      <c r="Q284" s="1029"/>
      <c r="R284" s="1029"/>
      <c r="S284" s="196" t="s">
        <v>385</v>
      </c>
      <c r="T284" s="201">
        <v>0.21729000000000001</v>
      </c>
      <c r="U284" s="201">
        <v>0.21418000000000001</v>
      </c>
      <c r="V284" s="201">
        <v>2.14E-3</v>
      </c>
      <c r="W284" s="201">
        <v>9.7000000000000005E-4</v>
      </c>
      <c r="X284" s="194"/>
      <c r="Y284" s="194"/>
      <c r="Z284" s="194"/>
      <c r="AA284" s="194"/>
      <c r="AB284" s="194"/>
      <c r="AC284" s="194"/>
      <c r="AD284" s="194"/>
      <c r="AE284" s="194"/>
      <c r="AF284" s="194"/>
      <c r="AG284" s="194"/>
      <c r="AH284" s="194"/>
      <c r="AI284" s="194"/>
      <c r="AJ284" s="194"/>
      <c r="AK284" s="194"/>
      <c r="AL284" s="194"/>
      <c r="AM284" s="194"/>
      <c r="AN284" s="194"/>
      <c r="AO284" s="194"/>
      <c r="AP284" s="194"/>
      <c r="AQ284" s="194"/>
      <c r="AR284" s="194"/>
      <c r="AS284" s="194"/>
      <c r="AT284" s="194"/>
      <c r="AU284" s="194"/>
      <c r="AV284" s="194"/>
      <c r="AW284" s="194"/>
      <c r="AX284" s="194"/>
      <c r="AY284" s="194"/>
    </row>
    <row r="285" spans="17:51">
      <c r="Q285" s="1029"/>
      <c r="R285" s="1029" t="s">
        <v>393</v>
      </c>
      <c r="S285" s="196" t="s">
        <v>384</v>
      </c>
      <c r="T285" s="201">
        <v>0.11551</v>
      </c>
      <c r="U285" s="201">
        <v>0.11314</v>
      </c>
      <c r="V285" s="201">
        <v>1.7799999999999999E-3</v>
      </c>
      <c r="W285" s="201">
        <v>5.9000000000000003E-4</v>
      </c>
      <c r="X285" s="194"/>
      <c r="Y285" s="194"/>
      <c r="Z285" s="194"/>
      <c r="AA285" s="194"/>
      <c r="AB285" s="194"/>
      <c r="AC285" s="194"/>
      <c r="AD285" s="194"/>
      <c r="AE285" s="194"/>
      <c r="AF285" s="194"/>
      <c r="AG285" s="194"/>
      <c r="AH285" s="194"/>
      <c r="AI285" s="194"/>
      <c r="AJ285" s="194"/>
      <c r="AK285" s="194"/>
      <c r="AL285" s="194"/>
      <c r="AM285" s="194"/>
      <c r="AN285" s="194"/>
      <c r="AO285" s="194"/>
      <c r="AP285" s="194"/>
      <c r="AQ285" s="194"/>
      <c r="AR285" s="194"/>
      <c r="AS285" s="194"/>
      <c r="AT285" s="194"/>
      <c r="AU285" s="194"/>
      <c r="AV285" s="194"/>
      <c r="AW285" s="194"/>
      <c r="AX285" s="194"/>
      <c r="AY285" s="194"/>
    </row>
    <row r="286" spans="17:51">
      <c r="Q286" s="1029"/>
      <c r="R286" s="1029"/>
      <c r="S286" s="196" t="s">
        <v>385</v>
      </c>
      <c r="T286" s="201">
        <v>0.18589</v>
      </c>
      <c r="U286" s="201">
        <v>0.18207999999999999</v>
      </c>
      <c r="V286" s="201">
        <v>2.8600000000000001E-3</v>
      </c>
      <c r="W286" s="201">
        <v>9.5E-4</v>
      </c>
      <c r="X286" s="194"/>
      <c r="Y286" s="194"/>
      <c r="Z286" s="194"/>
      <c r="AA286" s="194"/>
      <c r="AB286" s="194"/>
      <c r="AC286" s="194"/>
      <c r="AD286" s="194"/>
      <c r="AE286" s="194"/>
      <c r="AF286" s="194"/>
      <c r="AG286" s="194"/>
      <c r="AH286" s="194"/>
      <c r="AI286" s="194"/>
      <c r="AJ286" s="194"/>
      <c r="AK286" s="194"/>
      <c r="AL286" s="194"/>
      <c r="AM286" s="194"/>
      <c r="AN286" s="194"/>
      <c r="AO286" s="194"/>
      <c r="AP286" s="194"/>
      <c r="AQ286" s="194"/>
      <c r="AR286" s="194"/>
      <c r="AS286" s="194"/>
      <c r="AT286" s="194"/>
      <c r="AU286" s="194"/>
      <c r="AV286" s="194"/>
      <c r="AW286" s="194"/>
      <c r="AX286" s="194"/>
      <c r="AY286" s="194"/>
    </row>
    <row r="287" spans="17:51">
      <c r="Q287" s="194"/>
      <c r="R287" s="194"/>
      <c r="S287" s="194"/>
      <c r="T287" s="194"/>
      <c r="U287" s="194"/>
      <c r="V287" s="194"/>
      <c r="W287" s="194"/>
      <c r="X287" s="194"/>
      <c r="Y287" s="194"/>
      <c r="Z287" s="194"/>
      <c r="AA287" s="194"/>
      <c r="AB287" s="194"/>
      <c r="AC287" s="194"/>
      <c r="AD287" s="194"/>
      <c r="AE287" s="194"/>
      <c r="AF287" s="194"/>
      <c r="AG287" s="194"/>
      <c r="AH287" s="194"/>
      <c r="AI287" s="194"/>
      <c r="AJ287" s="194"/>
      <c r="AK287" s="194"/>
      <c r="AL287" s="194"/>
      <c r="AM287" s="194"/>
      <c r="AN287" s="194"/>
      <c r="AO287" s="194"/>
      <c r="AP287" s="194"/>
      <c r="AQ287" s="194"/>
      <c r="AR287" s="194"/>
      <c r="AS287" s="194"/>
      <c r="AT287" s="194"/>
      <c r="AU287" s="194"/>
      <c r="AV287" s="194"/>
      <c r="AW287" s="194"/>
      <c r="AX287" s="194"/>
      <c r="AY287" s="194"/>
    </row>
    <row r="288" spans="17:51">
      <c r="Q288" s="194"/>
      <c r="R288" s="194"/>
      <c r="S288" s="194"/>
      <c r="T288" s="194"/>
      <c r="U288" s="194"/>
      <c r="V288" s="194"/>
      <c r="W288" s="194"/>
      <c r="X288" s="194"/>
      <c r="Y288" s="194"/>
      <c r="Z288" s="194"/>
      <c r="AA288" s="194"/>
      <c r="AB288" s="194"/>
      <c r="AC288" s="194"/>
      <c r="AD288" s="194"/>
      <c r="AE288" s="194"/>
      <c r="AF288" s="194"/>
      <c r="AG288" s="194"/>
      <c r="AH288" s="194"/>
      <c r="AI288" s="194"/>
      <c r="AJ288" s="194"/>
      <c r="AK288" s="194"/>
      <c r="AL288" s="194"/>
      <c r="AM288" s="194"/>
      <c r="AN288" s="194"/>
      <c r="AO288" s="194"/>
      <c r="AP288" s="194"/>
      <c r="AQ288" s="194"/>
      <c r="AR288" s="194"/>
      <c r="AS288" s="194"/>
      <c r="AT288" s="194"/>
      <c r="AU288" s="194"/>
      <c r="AV288" s="194"/>
      <c r="AW288" s="194"/>
      <c r="AX288" s="194"/>
      <c r="AY288" s="194"/>
    </row>
    <row r="289" spans="17:51">
      <c r="Q289" s="194"/>
      <c r="R289" s="194"/>
      <c r="S289" s="194"/>
      <c r="T289" s="194"/>
      <c r="U289" s="194"/>
      <c r="V289" s="194"/>
      <c r="W289" s="194"/>
      <c r="X289" s="194"/>
      <c r="Y289" s="194"/>
      <c r="Z289" s="194"/>
      <c r="AA289" s="194"/>
      <c r="AB289" s="194"/>
      <c r="AC289" s="194"/>
      <c r="AD289" s="194"/>
      <c r="AE289" s="194"/>
      <c r="AF289" s="194"/>
      <c r="AG289" s="194"/>
      <c r="AH289" s="194"/>
      <c r="AI289" s="194"/>
      <c r="AJ289" s="194"/>
      <c r="AK289" s="194"/>
      <c r="AL289" s="194"/>
      <c r="AM289" s="194"/>
      <c r="AN289" s="194"/>
      <c r="AO289" s="194"/>
      <c r="AP289" s="194"/>
      <c r="AQ289" s="194"/>
      <c r="AR289" s="194"/>
      <c r="AS289" s="194"/>
      <c r="AT289" s="194"/>
      <c r="AU289" s="194"/>
      <c r="AV289" s="194"/>
      <c r="AW289" s="194"/>
      <c r="AX289" s="194"/>
      <c r="AY289" s="194"/>
    </row>
    <row r="290" spans="17:51" ht="18">
      <c r="Q290" s="195" t="s">
        <v>354</v>
      </c>
      <c r="R290" s="195" t="s">
        <v>369</v>
      </c>
      <c r="S290" s="195" t="s">
        <v>194</v>
      </c>
      <c r="T290" s="196" t="s">
        <v>413</v>
      </c>
      <c r="U290" s="196" t="s">
        <v>414</v>
      </c>
      <c r="V290" s="196" t="s">
        <v>415</v>
      </c>
      <c r="W290" s="196" t="s">
        <v>416</v>
      </c>
      <c r="X290" s="194"/>
      <c r="Y290" s="194"/>
      <c r="Z290" s="194"/>
      <c r="AA290" s="194"/>
      <c r="AB290" s="194"/>
      <c r="AC290" s="194"/>
      <c r="AD290" s="194"/>
      <c r="AE290" s="194"/>
      <c r="AF290" s="194"/>
      <c r="AG290" s="194"/>
      <c r="AH290" s="194"/>
      <c r="AI290" s="194"/>
      <c r="AJ290" s="194"/>
      <c r="AK290" s="194"/>
      <c r="AL290" s="194"/>
      <c r="AM290" s="194"/>
      <c r="AN290" s="194"/>
      <c r="AO290" s="194"/>
      <c r="AP290" s="194"/>
      <c r="AQ290" s="194"/>
      <c r="AR290" s="194"/>
      <c r="AS290" s="194"/>
      <c r="AT290" s="194"/>
      <c r="AU290" s="194"/>
      <c r="AV290" s="194"/>
      <c r="AW290" s="194"/>
      <c r="AX290" s="194"/>
      <c r="AY290" s="194"/>
    </row>
    <row r="291" spans="17:51">
      <c r="Q291" s="1029" t="s">
        <v>394</v>
      </c>
      <c r="R291" s="1029" t="s">
        <v>395</v>
      </c>
      <c r="S291" s="196" t="s">
        <v>361</v>
      </c>
      <c r="T291" s="199">
        <v>0.15018000000000001</v>
      </c>
      <c r="U291" s="199">
        <v>0.14885999999999999</v>
      </c>
      <c r="V291" s="199">
        <v>3.0800000000000002E-6</v>
      </c>
      <c r="W291" s="199">
        <v>1.32E-3</v>
      </c>
      <c r="X291" s="194"/>
      <c r="Y291" s="194"/>
      <c r="Z291" s="194"/>
      <c r="AA291" s="194"/>
      <c r="AB291" s="194"/>
      <c r="AC291" s="194"/>
      <c r="AD291" s="194"/>
      <c r="AE291" s="194"/>
      <c r="AF291" s="194"/>
      <c r="AG291" s="194"/>
      <c r="AH291" s="194"/>
      <c r="AI291" s="194"/>
      <c r="AJ291" s="194"/>
      <c r="AK291" s="194"/>
      <c r="AL291" s="194"/>
      <c r="AM291" s="194"/>
      <c r="AN291" s="194"/>
      <c r="AO291" s="194"/>
      <c r="AP291" s="194"/>
      <c r="AQ291" s="194"/>
      <c r="AR291" s="194"/>
      <c r="AS291" s="194"/>
      <c r="AT291" s="194"/>
      <c r="AU291" s="194"/>
      <c r="AV291" s="194"/>
      <c r="AW291" s="194"/>
      <c r="AX291" s="194"/>
      <c r="AY291" s="194"/>
    </row>
    <row r="292" spans="17:51">
      <c r="Q292" s="1029"/>
      <c r="R292" s="1029"/>
      <c r="S292" s="196" t="s">
        <v>384</v>
      </c>
      <c r="T292" s="199">
        <v>0.21024000000000001</v>
      </c>
      <c r="U292" s="199">
        <v>0.2084</v>
      </c>
      <c r="V292" s="199">
        <v>4.3200000000000001E-6</v>
      </c>
      <c r="W292" s="199">
        <v>1.8400000000000001E-3</v>
      </c>
      <c r="X292" s="194"/>
      <c r="Y292" s="194"/>
      <c r="Z292" s="194"/>
      <c r="AA292" s="194"/>
      <c r="AB292" s="194"/>
      <c r="AC292" s="194"/>
      <c r="AD292" s="194"/>
      <c r="AE292" s="194"/>
      <c r="AF292" s="194"/>
      <c r="AG292" s="194"/>
      <c r="AH292" s="194"/>
      <c r="AI292" s="194"/>
      <c r="AJ292" s="194"/>
      <c r="AK292" s="194"/>
      <c r="AL292" s="194"/>
      <c r="AM292" s="194"/>
      <c r="AN292" s="194"/>
      <c r="AO292" s="194"/>
      <c r="AP292" s="194"/>
      <c r="AQ292" s="194"/>
      <c r="AR292" s="194"/>
      <c r="AS292" s="194"/>
      <c r="AT292" s="194"/>
      <c r="AU292" s="194"/>
      <c r="AV292" s="194"/>
      <c r="AW292" s="194"/>
      <c r="AX292" s="194"/>
      <c r="AY292" s="194"/>
    </row>
    <row r="293" spans="17:51">
      <c r="Q293" s="1029"/>
      <c r="R293" s="1029" t="s">
        <v>396</v>
      </c>
      <c r="S293" s="196" t="s">
        <v>361</v>
      </c>
      <c r="T293" s="199">
        <v>0.21176</v>
      </c>
      <c r="U293" s="199">
        <v>0.21052999999999999</v>
      </c>
      <c r="V293" s="199">
        <v>2.88E-6</v>
      </c>
      <c r="W293" s="199">
        <v>1.23E-3</v>
      </c>
      <c r="X293" s="194"/>
      <c r="Y293" s="194"/>
      <c r="Z293" s="194"/>
      <c r="AA293" s="194"/>
      <c r="AB293" s="194"/>
      <c r="AC293" s="194"/>
      <c r="AD293" s="194"/>
      <c r="AE293" s="194"/>
      <c r="AF293" s="194"/>
      <c r="AG293" s="194"/>
      <c r="AH293" s="194"/>
      <c r="AI293" s="194"/>
      <c r="AJ293" s="194"/>
      <c r="AK293" s="194"/>
      <c r="AL293" s="194"/>
      <c r="AM293" s="194"/>
      <c r="AN293" s="194"/>
      <c r="AO293" s="194"/>
      <c r="AP293" s="194"/>
      <c r="AQ293" s="194"/>
      <c r="AR293" s="194"/>
      <c r="AS293" s="194"/>
      <c r="AT293" s="194"/>
      <c r="AU293" s="194"/>
      <c r="AV293" s="194"/>
      <c r="AW293" s="194"/>
      <c r="AX293" s="194"/>
      <c r="AY293" s="194"/>
    </row>
    <row r="294" spans="17:51">
      <c r="Q294" s="1029"/>
      <c r="R294" s="1029"/>
      <c r="S294" s="196" t="s">
        <v>384</v>
      </c>
      <c r="T294" s="199">
        <v>0.31763999999999998</v>
      </c>
      <c r="U294" s="199">
        <v>0.31580000000000003</v>
      </c>
      <c r="V294" s="199">
        <v>4.3200000000000001E-6</v>
      </c>
      <c r="W294" s="199">
        <v>1.8400000000000001E-3</v>
      </c>
      <c r="X294" s="194"/>
      <c r="Y294" s="194"/>
      <c r="Z294" s="194"/>
      <c r="AA294" s="194"/>
      <c r="AB294" s="194"/>
      <c r="AC294" s="194"/>
      <c r="AD294" s="194"/>
      <c r="AE294" s="194"/>
      <c r="AF294" s="194"/>
      <c r="AG294" s="194"/>
      <c r="AH294" s="194"/>
      <c r="AI294" s="194"/>
      <c r="AJ294" s="194"/>
      <c r="AK294" s="194"/>
      <c r="AL294" s="194"/>
      <c r="AM294" s="194"/>
      <c r="AN294" s="194"/>
      <c r="AO294" s="194"/>
      <c r="AP294" s="194"/>
      <c r="AQ294" s="194"/>
      <c r="AR294" s="194"/>
      <c r="AS294" s="194"/>
      <c r="AT294" s="194"/>
      <c r="AU294" s="194"/>
      <c r="AV294" s="194"/>
      <c r="AW294" s="194"/>
      <c r="AX294" s="194"/>
      <c r="AY294" s="194"/>
    </row>
    <row r="295" spans="17:51">
      <c r="Q295" s="194"/>
      <c r="R295" s="194"/>
      <c r="S295" s="194"/>
      <c r="T295" s="194"/>
      <c r="U295" s="194"/>
      <c r="V295" s="194"/>
      <c r="W295" s="194"/>
      <c r="X295" s="194"/>
      <c r="Y295" s="194"/>
      <c r="Z295" s="194"/>
      <c r="AA295" s="194"/>
      <c r="AB295" s="194"/>
      <c r="AC295" s="194"/>
      <c r="AD295" s="194"/>
      <c r="AE295" s="194"/>
      <c r="AF295" s="194"/>
      <c r="AG295" s="194"/>
      <c r="AH295" s="194"/>
      <c r="AI295" s="194"/>
      <c r="AJ295" s="194"/>
      <c r="AK295" s="194"/>
      <c r="AL295" s="194"/>
      <c r="AM295" s="194"/>
      <c r="AN295" s="194"/>
      <c r="AO295" s="194"/>
      <c r="AP295" s="194"/>
      <c r="AQ295" s="194"/>
      <c r="AR295" s="194"/>
      <c r="AS295" s="194"/>
      <c r="AT295" s="194"/>
      <c r="AU295" s="194"/>
      <c r="AV295" s="194"/>
      <c r="AW295" s="194"/>
      <c r="AX295" s="194"/>
      <c r="AY295" s="194"/>
    </row>
    <row r="296" spans="17:51">
      <c r="Q296" s="194"/>
      <c r="R296" s="194"/>
      <c r="S296" s="194"/>
      <c r="T296" s="194"/>
      <c r="U296" s="194"/>
      <c r="V296" s="194"/>
      <c r="W296" s="194"/>
      <c r="X296" s="194"/>
      <c r="Y296" s="194"/>
      <c r="Z296" s="194"/>
      <c r="AA296" s="194"/>
      <c r="AB296" s="194"/>
      <c r="AC296" s="194"/>
      <c r="AD296" s="194"/>
      <c r="AE296" s="194"/>
      <c r="AF296" s="194"/>
      <c r="AG296" s="194"/>
      <c r="AH296" s="194"/>
      <c r="AI296" s="194"/>
      <c r="AJ296" s="194"/>
      <c r="AK296" s="194"/>
      <c r="AL296" s="194"/>
      <c r="AM296" s="194"/>
      <c r="AN296" s="194"/>
      <c r="AO296" s="194"/>
      <c r="AP296" s="194"/>
      <c r="AQ296" s="194"/>
      <c r="AR296" s="194"/>
      <c r="AS296" s="194"/>
      <c r="AT296" s="194"/>
      <c r="AU296" s="194"/>
      <c r="AV296" s="194"/>
      <c r="AW296" s="194"/>
      <c r="AX296" s="194"/>
      <c r="AY296" s="194"/>
    </row>
    <row r="297" spans="17:51">
      <c r="Q297" s="194"/>
      <c r="R297" s="194"/>
      <c r="S297" s="194"/>
      <c r="T297" s="194"/>
      <c r="U297" s="194"/>
      <c r="V297" s="194"/>
      <c r="W297" s="194"/>
      <c r="X297" s="194"/>
      <c r="Y297" s="194"/>
      <c r="Z297" s="194"/>
      <c r="AA297" s="194"/>
      <c r="AB297" s="194"/>
      <c r="AC297" s="194"/>
      <c r="AD297" s="194"/>
      <c r="AE297" s="194"/>
      <c r="AF297" s="194"/>
      <c r="AG297" s="194"/>
      <c r="AH297" s="194"/>
      <c r="AI297" s="194"/>
      <c r="AJ297" s="194"/>
      <c r="AK297" s="194"/>
      <c r="AL297" s="194"/>
      <c r="AM297" s="194"/>
      <c r="AN297" s="194"/>
      <c r="AO297" s="194"/>
      <c r="AP297" s="194"/>
      <c r="AQ297" s="194"/>
      <c r="AR297" s="194"/>
      <c r="AS297" s="194"/>
      <c r="AT297" s="194"/>
      <c r="AU297" s="194"/>
      <c r="AV297" s="194"/>
      <c r="AW297" s="194"/>
      <c r="AX297" s="194"/>
      <c r="AY297" s="194"/>
    </row>
    <row r="298" spans="17:51" ht="18">
      <c r="Q298" s="195" t="s">
        <v>354</v>
      </c>
      <c r="R298" s="195" t="s">
        <v>369</v>
      </c>
      <c r="S298" s="195" t="s">
        <v>194</v>
      </c>
      <c r="T298" s="196" t="s">
        <v>413</v>
      </c>
      <c r="U298" s="196" t="s">
        <v>414</v>
      </c>
      <c r="V298" s="196" t="s">
        <v>415</v>
      </c>
      <c r="W298" s="196" t="s">
        <v>416</v>
      </c>
      <c r="X298" s="194"/>
      <c r="Y298" s="194"/>
      <c r="Z298" s="194"/>
      <c r="AA298" s="194"/>
      <c r="AB298" s="194"/>
      <c r="AC298" s="194"/>
      <c r="AD298" s="194"/>
      <c r="AE298" s="194"/>
      <c r="AF298" s="194"/>
      <c r="AG298" s="194"/>
      <c r="AH298" s="194"/>
      <c r="AI298" s="194"/>
      <c r="AJ298" s="194"/>
      <c r="AK298" s="194"/>
      <c r="AL298" s="194"/>
      <c r="AM298" s="194"/>
      <c r="AN298" s="194"/>
      <c r="AO298" s="194"/>
      <c r="AP298" s="194"/>
      <c r="AQ298" s="194"/>
      <c r="AR298" s="194"/>
      <c r="AS298" s="194"/>
      <c r="AT298" s="194"/>
      <c r="AU298" s="194"/>
      <c r="AV298" s="194"/>
      <c r="AW298" s="194"/>
      <c r="AX298" s="194"/>
      <c r="AY298" s="194"/>
    </row>
    <row r="299" spans="17:51">
      <c r="Q299" s="1029" t="s">
        <v>397</v>
      </c>
      <c r="R299" s="196" t="s">
        <v>398</v>
      </c>
      <c r="S299" s="196" t="s">
        <v>361</v>
      </c>
      <c r="T299" s="201">
        <v>0.12076000000000001</v>
      </c>
      <c r="U299" s="201">
        <v>0.11974</v>
      </c>
      <c r="V299" s="201">
        <v>3.0000000000000001E-5</v>
      </c>
      <c r="W299" s="201">
        <v>9.8999999999999999E-4</v>
      </c>
      <c r="X299" s="194"/>
      <c r="Y299" s="194"/>
      <c r="Z299" s="194"/>
      <c r="AA299" s="194"/>
      <c r="AB299" s="194"/>
      <c r="AC299" s="194"/>
      <c r="AD299" s="194"/>
      <c r="AE299" s="194"/>
      <c r="AF299" s="194"/>
      <c r="AG299" s="194"/>
      <c r="AH299" s="194"/>
      <c r="AI299" s="194"/>
      <c r="AJ299" s="194"/>
      <c r="AK299" s="194"/>
      <c r="AL299" s="194"/>
      <c r="AM299" s="194"/>
      <c r="AN299" s="194"/>
      <c r="AO299" s="194"/>
      <c r="AP299" s="194"/>
      <c r="AQ299" s="194"/>
      <c r="AR299" s="194"/>
      <c r="AS299" s="194"/>
      <c r="AT299" s="194"/>
      <c r="AU299" s="194"/>
      <c r="AV299" s="194"/>
      <c r="AW299" s="194"/>
      <c r="AX299" s="194"/>
      <c r="AY299" s="194"/>
    </row>
    <row r="300" spans="17:51">
      <c r="Q300" s="1029"/>
      <c r="R300" s="196" t="s">
        <v>399</v>
      </c>
      <c r="S300" s="196" t="s">
        <v>361</v>
      </c>
      <c r="T300" s="201">
        <v>8.2079999999999986E-2</v>
      </c>
      <c r="U300" s="201">
        <v>8.1629999999999994E-2</v>
      </c>
      <c r="V300" s="201">
        <v>1.0000000000000001E-5</v>
      </c>
      <c r="W300" s="201">
        <v>4.4000000000000002E-4</v>
      </c>
      <c r="X300" s="194"/>
      <c r="Y300" s="194"/>
      <c r="Z300" s="194"/>
      <c r="AA300" s="194"/>
      <c r="AB300" s="194"/>
      <c r="AC300" s="194"/>
      <c r="AD300" s="194"/>
      <c r="AE300" s="194"/>
      <c r="AF300" s="194"/>
      <c r="AG300" s="194"/>
      <c r="AH300" s="194"/>
      <c r="AI300" s="194"/>
      <c r="AJ300" s="194"/>
      <c r="AK300" s="194"/>
      <c r="AL300" s="194"/>
      <c r="AM300" s="194"/>
      <c r="AN300" s="194"/>
      <c r="AO300" s="194"/>
      <c r="AP300" s="194"/>
      <c r="AQ300" s="194"/>
      <c r="AR300" s="194"/>
      <c r="AS300" s="194"/>
      <c r="AT300" s="194"/>
      <c r="AU300" s="194"/>
      <c r="AV300" s="194"/>
      <c r="AW300" s="194"/>
      <c r="AX300" s="194"/>
      <c r="AY300" s="194"/>
    </row>
    <row r="301" spans="17:51">
      <c r="Q301" s="1029"/>
      <c r="R301" s="196" t="s">
        <v>400</v>
      </c>
      <c r="S301" s="196" t="s">
        <v>361</v>
      </c>
      <c r="T301" s="201">
        <v>0.10471000000000001</v>
      </c>
      <c r="U301" s="201">
        <v>0.10391</v>
      </c>
      <c r="V301" s="201">
        <v>3.0000000000000001E-5</v>
      </c>
      <c r="W301" s="201">
        <v>7.6999999999999996E-4</v>
      </c>
      <c r="X301" s="194"/>
      <c r="Y301" s="194"/>
      <c r="Z301" s="194"/>
      <c r="AA301" s="194"/>
      <c r="AB301" s="194"/>
      <c r="AC301" s="194"/>
      <c r="AD301" s="194"/>
      <c r="AE301" s="194"/>
      <c r="AF301" s="194"/>
      <c r="AG301" s="194"/>
      <c r="AH301" s="194"/>
      <c r="AI301" s="194"/>
      <c r="AJ301" s="194"/>
      <c r="AK301" s="194"/>
      <c r="AL301" s="194"/>
      <c r="AM301" s="194"/>
      <c r="AN301" s="194"/>
      <c r="AO301" s="194"/>
      <c r="AP301" s="194"/>
      <c r="AQ301" s="194"/>
      <c r="AR301" s="194"/>
      <c r="AS301" s="194"/>
      <c r="AT301" s="194"/>
      <c r="AU301" s="194"/>
      <c r="AV301" s="194"/>
      <c r="AW301" s="194"/>
      <c r="AX301" s="194"/>
      <c r="AY301" s="194"/>
    </row>
    <row r="302" spans="17:51">
      <c r="Q302" s="1029"/>
      <c r="R302" s="196" t="s">
        <v>401</v>
      </c>
      <c r="S302" s="196" t="s">
        <v>361</v>
      </c>
      <c r="T302" s="201">
        <v>2.7789999999999999E-2</v>
      </c>
      <c r="U302" s="201">
        <v>2.7279999999999999E-2</v>
      </c>
      <c r="V302" s="201">
        <v>2.0000000000000002E-5</v>
      </c>
      <c r="W302" s="201">
        <v>4.8999999999999998E-4</v>
      </c>
      <c r="X302" s="194"/>
      <c r="Y302" s="194"/>
      <c r="Z302" s="194"/>
      <c r="AA302" s="194"/>
      <c r="AB302" s="194"/>
      <c r="AC302" s="194"/>
      <c r="AD302" s="194"/>
      <c r="AE302" s="194"/>
      <c r="AF302" s="194"/>
      <c r="AG302" s="194"/>
      <c r="AH302" s="194"/>
      <c r="AI302" s="194"/>
      <c r="AJ302" s="194"/>
      <c r="AK302" s="194"/>
      <c r="AL302" s="194"/>
      <c r="AM302" s="194"/>
      <c r="AN302" s="194"/>
      <c r="AO302" s="194"/>
      <c r="AP302" s="194"/>
      <c r="AQ302" s="194"/>
      <c r="AR302" s="194"/>
      <c r="AS302" s="194"/>
      <c r="AT302" s="194"/>
      <c r="AU302" s="194"/>
      <c r="AV302" s="194"/>
      <c r="AW302" s="194"/>
      <c r="AX302" s="194"/>
      <c r="AY302" s="194"/>
    </row>
    <row r="303" spans="17:51">
      <c r="Q303" s="194"/>
      <c r="R303" s="194"/>
      <c r="S303" s="194"/>
      <c r="T303" s="194"/>
      <c r="U303" s="194"/>
      <c r="V303" s="194"/>
      <c r="W303" s="194"/>
      <c r="X303" s="194"/>
      <c r="Y303" s="194"/>
      <c r="Z303" s="194"/>
      <c r="AA303" s="194"/>
      <c r="AB303" s="194"/>
      <c r="AC303" s="194"/>
      <c r="AD303" s="194"/>
      <c r="AE303" s="194"/>
      <c r="AF303" s="194"/>
      <c r="AG303" s="194"/>
      <c r="AH303" s="194"/>
      <c r="AI303" s="194"/>
      <c r="AJ303" s="194"/>
      <c r="AK303" s="194"/>
      <c r="AL303" s="194"/>
      <c r="AM303" s="194"/>
      <c r="AN303" s="194"/>
      <c r="AO303" s="194"/>
      <c r="AP303" s="194"/>
      <c r="AQ303" s="194"/>
      <c r="AR303" s="194"/>
      <c r="AS303" s="194"/>
      <c r="AT303" s="194"/>
      <c r="AU303" s="194"/>
      <c r="AV303" s="194"/>
      <c r="AW303" s="194"/>
      <c r="AX303" s="194"/>
      <c r="AY303" s="194"/>
    </row>
    <row r="304" spans="17:51">
      <c r="Q304" s="194"/>
      <c r="R304" s="194"/>
      <c r="S304" s="194"/>
      <c r="T304" s="194"/>
      <c r="U304" s="194"/>
      <c r="V304" s="194"/>
      <c r="W304" s="194"/>
      <c r="X304" s="194"/>
      <c r="Y304" s="194"/>
      <c r="Z304" s="194"/>
      <c r="AA304" s="194"/>
      <c r="AB304" s="194"/>
      <c r="AC304" s="194"/>
      <c r="AD304" s="194"/>
      <c r="AE304" s="194"/>
      <c r="AF304" s="194"/>
      <c r="AG304" s="194"/>
      <c r="AH304" s="194"/>
      <c r="AI304" s="194"/>
      <c r="AJ304" s="194"/>
      <c r="AK304" s="194"/>
      <c r="AL304" s="194"/>
      <c r="AM304" s="194"/>
      <c r="AN304" s="194"/>
      <c r="AO304" s="194"/>
      <c r="AP304" s="194"/>
      <c r="AQ304" s="194"/>
      <c r="AR304" s="194"/>
      <c r="AS304" s="194"/>
      <c r="AT304" s="194"/>
      <c r="AU304" s="194"/>
      <c r="AV304" s="194"/>
      <c r="AW304" s="194"/>
      <c r="AX304" s="194"/>
      <c r="AY304" s="194"/>
    </row>
    <row r="305" spans="3:51">
      <c r="Q305" s="194"/>
      <c r="R305" s="194"/>
      <c r="S305" s="194"/>
      <c r="T305" s="194"/>
      <c r="U305" s="194"/>
      <c r="V305" s="194"/>
      <c r="W305" s="194"/>
      <c r="X305" s="194"/>
      <c r="Y305" s="194"/>
      <c r="Z305" s="194"/>
      <c r="AA305" s="194"/>
      <c r="AB305" s="194"/>
      <c r="AC305" s="194"/>
      <c r="AD305" s="194"/>
      <c r="AE305" s="194"/>
      <c r="AF305" s="194"/>
      <c r="AG305" s="194"/>
      <c r="AH305" s="194"/>
      <c r="AI305" s="194"/>
      <c r="AJ305" s="194"/>
      <c r="AK305" s="194"/>
      <c r="AL305" s="194"/>
      <c r="AM305" s="194"/>
      <c r="AN305" s="194"/>
      <c r="AO305" s="194"/>
      <c r="AP305" s="194"/>
      <c r="AQ305" s="194"/>
      <c r="AR305" s="194"/>
      <c r="AS305" s="194"/>
      <c r="AT305" s="194"/>
      <c r="AU305" s="194"/>
      <c r="AV305" s="194"/>
      <c r="AW305" s="194"/>
      <c r="AX305" s="194"/>
      <c r="AY305" s="194"/>
    </row>
    <row r="306" spans="3:51" ht="18">
      <c r="Q306" s="195" t="s">
        <v>354</v>
      </c>
      <c r="R306" s="195" t="s">
        <v>369</v>
      </c>
      <c r="S306" s="195" t="s">
        <v>194</v>
      </c>
      <c r="T306" s="196" t="s">
        <v>413</v>
      </c>
      <c r="U306" s="196" t="s">
        <v>414</v>
      </c>
      <c r="V306" s="196" t="s">
        <v>415</v>
      </c>
      <c r="W306" s="196" t="s">
        <v>416</v>
      </c>
      <c r="X306" s="194"/>
      <c r="Y306" s="194"/>
      <c r="Z306" s="194"/>
      <c r="AA306" s="194"/>
      <c r="AB306" s="194"/>
      <c r="AC306" s="194"/>
      <c r="AD306" s="194"/>
      <c r="AE306" s="194"/>
      <c r="AF306" s="194"/>
      <c r="AG306" s="194"/>
      <c r="AH306" s="194"/>
      <c r="AI306" s="194"/>
      <c r="AJ306" s="194"/>
      <c r="AK306" s="194"/>
      <c r="AL306" s="194"/>
      <c r="AM306" s="194"/>
      <c r="AN306" s="194"/>
      <c r="AO306" s="194"/>
      <c r="AP306" s="194"/>
      <c r="AQ306" s="194"/>
      <c r="AR306" s="194"/>
      <c r="AS306" s="194"/>
      <c r="AT306" s="194"/>
      <c r="AU306" s="194"/>
      <c r="AV306" s="194"/>
      <c r="AW306" s="194"/>
      <c r="AX306" s="194"/>
      <c r="AY306" s="194"/>
    </row>
    <row r="307" spans="3:51">
      <c r="Q307" s="1029" t="s">
        <v>402</v>
      </c>
      <c r="R307" s="196" t="s">
        <v>403</v>
      </c>
      <c r="S307" s="196" t="s">
        <v>361</v>
      </c>
      <c r="T307" s="199">
        <v>4.1149999999999999E-2</v>
      </c>
      <c r="U307" s="199">
        <v>4.0770000000000001E-2</v>
      </c>
      <c r="V307" s="199">
        <v>6.9999999999999994E-5</v>
      </c>
      <c r="W307" s="199">
        <v>3.1E-4</v>
      </c>
      <c r="X307" s="194"/>
      <c r="Y307" s="194"/>
      <c r="Z307" s="194"/>
      <c r="AA307" s="194"/>
      <c r="AB307" s="194"/>
      <c r="AC307" s="194"/>
      <c r="AD307" s="194"/>
      <c r="AE307" s="194"/>
      <c r="AF307" s="194"/>
      <c r="AG307" s="194"/>
      <c r="AH307" s="194"/>
      <c r="AI307" s="194"/>
      <c r="AJ307" s="194"/>
      <c r="AK307" s="194"/>
      <c r="AL307" s="194"/>
      <c r="AM307" s="194"/>
      <c r="AN307" s="194"/>
      <c r="AO307" s="194"/>
      <c r="AP307" s="194"/>
      <c r="AQ307" s="194"/>
      <c r="AR307" s="194"/>
      <c r="AS307" s="194"/>
      <c r="AT307" s="194"/>
      <c r="AU307" s="194"/>
      <c r="AV307" s="194"/>
      <c r="AW307" s="194"/>
      <c r="AX307" s="194"/>
      <c r="AY307" s="194"/>
    </row>
    <row r="308" spans="3:51">
      <c r="Q308" s="1029"/>
      <c r="R308" s="196" t="s">
        <v>404</v>
      </c>
      <c r="S308" s="196" t="s">
        <v>361</v>
      </c>
      <c r="T308" s="199">
        <v>5.9699999999999996E-3</v>
      </c>
      <c r="U308" s="199">
        <v>5.9199999999999999E-3</v>
      </c>
      <c r="V308" s="199">
        <v>2.0000000000000002E-5</v>
      </c>
      <c r="W308" s="199">
        <v>3.0000000000000001E-5</v>
      </c>
      <c r="X308" s="194"/>
      <c r="Y308" s="194"/>
      <c r="Z308" s="194"/>
      <c r="AA308" s="194"/>
      <c r="AB308" s="194"/>
      <c r="AC308" s="194"/>
      <c r="AD308" s="194"/>
      <c r="AE308" s="194"/>
      <c r="AF308" s="194"/>
      <c r="AG308" s="194"/>
      <c r="AH308" s="194"/>
      <c r="AI308" s="194"/>
      <c r="AJ308" s="194"/>
      <c r="AK308" s="194"/>
      <c r="AL308" s="194"/>
      <c r="AM308" s="194"/>
      <c r="AN308" s="194"/>
      <c r="AO308" s="194"/>
      <c r="AP308" s="194"/>
      <c r="AQ308" s="194"/>
      <c r="AR308" s="194"/>
      <c r="AS308" s="194"/>
      <c r="AT308" s="194"/>
      <c r="AU308" s="194"/>
      <c r="AV308" s="194"/>
      <c r="AW308" s="194"/>
      <c r="AX308" s="194"/>
      <c r="AY308" s="194"/>
    </row>
    <row r="309" spans="3:51">
      <c r="Q309" s="1029"/>
      <c r="R309" s="196" t="s">
        <v>405</v>
      </c>
      <c r="S309" s="196" t="s">
        <v>361</v>
      </c>
      <c r="T309" s="199">
        <v>3.508E-2</v>
      </c>
      <c r="U309" s="199">
        <v>3.4799999999999998E-2</v>
      </c>
      <c r="V309" s="199">
        <v>9.0000000000000006E-5</v>
      </c>
      <c r="W309" s="199">
        <v>1.9000000000000001E-4</v>
      </c>
      <c r="X309" s="194"/>
      <c r="Y309" s="194"/>
      <c r="Z309" s="194"/>
      <c r="AA309" s="194"/>
      <c r="AB309" s="194"/>
      <c r="AC309" s="194"/>
      <c r="AD309" s="194"/>
      <c r="AE309" s="194"/>
      <c r="AF309" s="194"/>
      <c r="AG309" s="194"/>
      <c r="AH309" s="194"/>
      <c r="AI309" s="194"/>
      <c r="AJ309" s="194"/>
      <c r="AK309" s="194"/>
      <c r="AL309" s="194"/>
      <c r="AM309" s="194"/>
      <c r="AN309" s="194"/>
      <c r="AO309" s="194"/>
      <c r="AP309" s="194"/>
      <c r="AQ309" s="194"/>
      <c r="AR309" s="194"/>
      <c r="AS309" s="194"/>
      <c r="AT309" s="194"/>
      <c r="AU309" s="194"/>
      <c r="AV309" s="194"/>
      <c r="AW309" s="194"/>
      <c r="AX309" s="194"/>
      <c r="AY309" s="194"/>
    </row>
    <row r="310" spans="3:51">
      <c r="Q310" s="1029"/>
      <c r="R310" s="196" t="s">
        <v>406</v>
      </c>
      <c r="S310" s="196" t="s">
        <v>361</v>
      </c>
      <c r="T310" s="199">
        <v>3.0839999999999999E-2</v>
      </c>
      <c r="U310" s="199">
        <v>3.0589999999999999E-2</v>
      </c>
      <c r="V310" s="199">
        <v>8.0000000000000007E-5</v>
      </c>
      <c r="W310" s="199">
        <v>1.7000000000000001E-4</v>
      </c>
      <c r="X310" s="194"/>
      <c r="Y310" s="194"/>
      <c r="Z310" s="194"/>
      <c r="AA310" s="194"/>
      <c r="AB310" s="194"/>
      <c r="AC310" s="194"/>
      <c r="AD310" s="194"/>
      <c r="AE310" s="194"/>
      <c r="AF310" s="194"/>
      <c r="AG310" s="194"/>
      <c r="AH310" s="194"/>
      <c r="AI310" s="194"/>
      <c r="AJ310" s="194"/>
      <c r="AK310" s="194"/>
      <c r="AL310" s="194"/>
      <c r="AM310" s="194"/>
      <c r="AN310" s="194"/>
      <c r="AO310" s="194"/>
      <c r="AP310" s="194"/>
      <c r="AQ310" s="194"/>
      <c r="AR310" s="194"/>
      <c r="AS310" s="194"/>
      <c r="AT310" s="194"/>
      <c r="AU310" s="194"/>
      <c r="AV310" s="194"/>
      <c r="AW310" s="194"/>
      <c r="AX310" s="194"/>
      <c r="AY310" s="194"/>
    </row>
    <row r="314" spans="3:51">
      <c r="C314" t="s">
        <v>547</v>
      </c>
      <c r="D314" t="s">
        <v>548</v>
      </c>
      <c r="E314" t="s">
        <v>549</v>
      </c>
      <c r="O314">
        <v>13</v>
      </c>
      <c r="P314">
        <v>14</v>
      </c>
      <c r="Q314">
        <v>15</v>
      </c>
    </row>
    <row r="315" spans="3:51">
      <c r="E315" t="s">
        <v>550</v>
      </c>
    </row>
    <row r="316" spans="3:51">
      <c r="E316" t="s">
        <v>553</v>
      </c>
      <c r="F316" t="s">
        <v>554</v>
      </c>
      <c r="G316" t="s">
        <v>555</v>
      </c>
      <c r="H316" t="s">
        <v>556</v>
      </c>
      <c r="I316" t="s">
        <v>557</v>
      </c>
      <c r="J316" t="s">
        <v>558</v>
      </c>
      <c r="K316" t="s">
        <v>559</v>
      </c>
      <c r="O316" t="s">
        <v>560</v>
      </c>
      <c r="P316" t="s">
        <v>561</v>
      </c>
      <c r="Q316" t="s">
        <v>562</v>
      </c>
    </row>
    <row r="317" spans="3:51">
      <c r="C317" t="s">
        <v>67</v>
      </c>
      <c r="D317" t="s">
        <v>564</v>
      </c>
      <c r="E317">
        <v>1039.635</v>
      </c>
      <c r="F317">
        <v>8.2000000000000003E-2</v>
      </c>
      <c r="G317">
        <v>1.0999999999999999E-2</v>
      </c>
      <c r="H317">
        <v>1044.989</v>
      </c>
      <c r="I317">
        <v>5.47</v>
      </c>
      <c r="J317">
        <v>5.4189999999999996</v>
      </c>
      <c r="K317">
        <v>1.1000000000000001</v>
      </c>
      <c r="O317">
        <v>0.47157050358495006</v>
      </c>
      <c r="P317">
        <v>3.7194574340000008E-5</v>
      </c>
      <c r="Q317">
        <v>4.9895160700000003E-6</v>
      </c>
    </row>
    <row r="318" spans="3:51">
      <c r="C318" t="s">
        <v>566</v>
      </c>
      <c r="D318" t="s">
        <v>567</v>
      </c>
      <c r="E318">
        <v>525.08299999999997</v>
      </c>
      <c r="F318">
        <v>2.4E-2</v>
      </c>
      <c r="G318">
        <v>4.0000000000000001E-3</v>
      </c>
      <c r="H318">
        <v>526.96299999999997</v>
      </c>
      <c r="I318">
        <v>7.7119999999999997</v>
      </c>
      <c r="J318">
        <v>7.8440000000000003</v>
      </c>
      <c r="K318">
        <v>0.67700000000000005</v>
      </c>
      <c r="O318">
        <v>0.23817364241671002</v>
      </c>
      <c r="P318">
        <v>1.0886216880000001E-5</v>
      </c>
      <c r="Q318">
        <v>1.8143694800000002E-6</v>
      </c>
    </row>
    <row r="319" spans="3:51">
      <c r="C319" t="s">
        <v>568</v>
      </c>
      <c r="D319" t="s">
        <v>569</v>
      </c>
      <c r="E319">
        <v>1022.355</v>
      </c>
      <c r="F319">
        <v>7.6999999999999999E-2</v>
      </c>
      <c r="G319">
        <v>1.0999999999999999E-2</v>
      </c>
      <c r="H319">
        <v>1027.548</v>
      </c>
      <c r="I319">
        <v>0.73</v>
      </c>
      <c r="J319">
        <v>0.71899999999999997</v>
      </c>
      <c r="K319">
        <v>0.26300000000000001</v>
      </c>
      <c r="O319">
        <v>0.46373242743135007</v>
      </c>
      <c r="P319">
        <v>3.492661249E-5</v>
      </c>
      <c r="Q319">
        <v>4.9895160700000003E-6</v>
      </c>
    </row>
    <row r="320" spans="3:51">
      <c r="C320" t="s">
        <v>570</v>
      </c>
      <c r="D320" t="s">
        <v>571</v>
      </c>
      <c r="E320">
        <v>496.536</v>
      </c>
      <c r="F320">
        <v>3.4000000000000002E-2</v>
      </c>
      <c r="G320">
        <v>4.0000000000000001E-3</v>
      </c>
      <c r="H320">
        <v>498.68599999999998</v>
      </c>
      <c r="I320">
        <v>0.46300000000000002</v>
      </c>
      <c r="J320">
        <v>0.41399999999999998</v>
      </c>
      <c r="K320">
        <v>4.7E-2</v>
      </c>
      <c r="O320">
        <v>0.22522494103032001</v>
      </c>
      <c r="P320">
        <v>1.5422140580000002E-5</v>
      </c>
      <c r="Q320">
        <v>1.8143694800000002E-6</v>
      </c>
    </row>
    <row r="321" spans="3:17">
      <c r="C321" t="s">
        <v>572</v>
      </c>
      <c r="D321" t="s">
        <v>573</v>
      </c>
      <c r="E321">
        <v>931.67200000000003</v>
      </c>
      <c r="F321">
        <v>6.6000000000000003E-2</v>
      </c>
      <c r="G321">
        <v>8.9999999999999993E-3</v>
      </c>
      <c r="H321">
        <v>936.08199999999999</v>
      </c>
      <c r="I321">
        <v>0.54500000000000004</v>
      </c>
      <c r="J321">
        <v>0.55400000000000005</v>
      </c>
      <c r="K321">
        <v>0.82899999999999996</v>
      </c>
      <c r="O321">
        <v>0.42259931054264005</v>
      </c>
      <c r="P321">
        <v>2.9937096420000004E-5</v>
      </c>
      <c r="Q321">
        <v>4.0823313299999998E-6</v>
      </c>
    </row>
    <row r="322" spans="3:17">
      <c r="C322" t="s">
        <v>574</v>
      </c>
      <c r="D322" t="s">
        <v>575</v>
      </c>
      <c r="E322">
        <v>931.84199999999998</v>
      </c>
      <c r="F322">
        <v>6.6000000000000003E-2</v>
      </c>
      <c r="G322">
        <v>8.9999999999999993E-3</v>
      </c>
      <c r="H322">
        <v>936.14499999999998</v>
      </c>
      <c r="I322">
        <v>0.35599999999999998</v>
      </c>
      <c r="J322">
        <v>0.36499999999999999</v>
      </c>
      <c r="K322">
        <v>0.27800000000000002</v>
      </c>
      <c r="O322">
        <v>0.42267642124554006</v>
      </c>
      <c r="P322">
        <v>2.9937096420000004E-5</v>
      </c>
      <c r="Q322">
        <v>4.0823313299999998E-6</v>
      </c>
    </row>
    <row r="323" spans="3:17">
      <c r="C323" t="s">
        <v>576</v>
      </c>
      <c r="D323" t="s">
        <v>577</v>
      </c>
      <c r="E323">
        <v>1110.6890000000001</v>
      </c>
      <c r="F323">
        <v>0.11799999999999999</v>
      </c>
      <c r="G323">
        <v>1.7999999999999999E-2</v>
      </c>
      <c r="H323">
        <v>1119.077</v>
      </c>
      <c r="I323">
        <v>7.6379999999999999</v>
      </c>
      <c r="J323">
        <v>7.5819999999999999</v>
      </c>
      <c r="K323">
        <v>3.9689999999999999</v>
      </c>
      <c r="O323">
        <v>0.50380005584293008</v>
      </c>
      <c r="P323">
        <v>5.3523899660000004E-5</v>
      </c>
      <c r="Q323">
        <v>8.1646626599999996E-6</v>
      </c>
    </row>
    <row r="324" spans="3:17">
      <c r="C324" t="s">
        <v>578</v>
      </c>
      <c r="D324" t="s">
        <v>579</v>
      </c>
      <c r="E324">
        <v>1669.943</v>
      </c>
      <c r="F324">
        <v>0.18</v>
      </c>
      <c r="G324">
        <v>2.7E-2</v>
      </c>
      <c r="H324">
        <v>1682.596</v>
      </c>
      <c r="I324">
        <v>3.5150000000000001</v>
      </c>
      <c r="J324">
        <v>3.7730000000000001</v>
      </c>
      <c r="K324">
        <v>7.9969999999999999</v>
      </c>
      <c r="O324">
        <v>0.75747340313491007</v>
      </c>
      <c r="P324">
        <v>8.1646626600000006E-5</v>
      </c>
      <c r="Q324">
        <v>1.224699399E-5</v>
      </c>
    </row>
    <row r="325" spans="3:17">
      <c r="C325" t="s">
        <v>580</v>
      </c>
      <c r="D325" t="s">
        <v>581</v>
      </c>
      <c r="E325">
        <v>1678.0160000000001</v>
      </c>
      <c r="F325">
        <v>0.16900000000000001</v>
      </c>
      <c r="G325">
        <v>2.5000000000000001E-2</v>
      </c>
      <c r="H325">
        <v>1689.6510000000001</v>
      </c>
      <c r="I325">
        <v>0.88</v>
      </c>
      <c r="J325">
        <v>0.88700000000000001</v>
      </c>
      <c r="K325">
        <v>0.89100000000000001</v>
      </c>
      <c r="O325">
        <v>0.76113525433792006</v>
      </c>
      <c r="P325">
        <v>7.665711053000001E-5</v>
      </c>
      <c r="Q325">
        <v>1.1339809250000001E-5</v>
      </c>
    </row>
    <row r="326" spans="3:17">
      <c r="C326" t="s">
        <v>582</v>
      </c>
      <c r="D326" t="s">
        <v>583</v>
      </c>
      <c r="E326">
        <v>1239.848</v>
      </c>
      <c r="F326">
        <v>0.13800000000000001</v>
      </c>
      <c r="G326">
        <v>0.02</v>
      </c>
      <c r="H326">
        <v>1249.201</v>
      </c>
      <c r="I326">
        <v>0.97699999999999998</v>
      </c>
      <c r="J326">
        <v>1.0089999999999999</v>
      </c>
      <c r="K326">
        <v>1.351</v>
      </c>
      <c r="O326">
        <v>0.56238559275976008</v>
      </c>
      <c r="P326">
        <v>6.2595747060000009E-5</v>
      </c>
      <c r="Q326">
        <v>9.0718474000000018E-6</v>
      </c>
    </row>
    <row r="327" spans="3:17">
      <c r="C327" t="s">
        <v>584</v>
      </c>
      <c r="D327" t="s">
        <v>585</v>
      </c>
      <c r="E327">
        <v>522.31200000000001</v>
      </c>
      <c r="F327">
        <v>8.2000000000000003E-2</v>
      </c>
      <c r="G327">
        <v>1.0999999999999999E-2</v>
      </c>
      <c r="H327">
        <v>527.56399999999996</v>
      </c>
      <c r="I327">
        <v>0.38700000000000001</v>
      </c>
      <c r="J327">
        <v>0.35</v>
      </c>
      <c r="K327">
        <v>0.13600000000000001</v>
      </c>
      <c r="O327">
        <v>0.23691673795944002</v>
      </c>
      <c r="P327">
        <v>3.7194574340000008E-5</v>
      </c>
      <c r="Q327">
        <v>4.9895160700000003E-6</v>
      </c>
    </row>
    <row r="328" spans="3:17">
      <c r="C328" t="s">
        <v>586</v>
      </c>
      <c r="D328" t="s">
        <v>587</v>
      </c>
      <c r="E328">
        <v>639.03700000000003</v>
      </c>
      <c r="F328">
        <v>6.4000000000000001E-2</v>
      </c>
      <c r="G328">
        <v>8.9999999999999993E-3</v>
      </c>
      <c r="H328">
        <v>643.36300000000006</v>
      </c>
      <c r="I328">
        <v>0.57999999999999996</v>
      </c>
      <c r="J328">
        <v>0.57699999999999996</v>
      </c>
      <c r="K328">
        <v>0.377</v>
      </c>
      <c r="O328">
        <v>0.28986230734769003</v>
      </c>
      <c r="P328">
        <v>2.9029911680000003E-5</v>
      </c>
      <c r="Q328">
        <v>4.0823313299999998E-6</v>
      </c>
    </row>
    <row r="329" spans="3:17">
      <c r="C329" t="s">
        <v>588</v>
      </c>
      <c r="D329" t="s">
        <v>589</v>
      </c>
      <c r="E329">
        <v>596.41399999999999</v>
      </c>
      <c r="F329">
        <v>2.1999999999999999E-2</v>
      </c>
      <c r="G329">
        <v>3.0000000000000001E-3</v>
      </c>
      <c r="H329">
        <v>597.76199999999994</v>
      </c>
      <c r="I329">
        <v>0.251</v>
      </c>
      <c r="J329">
        <v>0.249</v>
      </c>
      <c r="K329">
        <v>2.5999999999999999E-2</v>
      </c>
      <c r="O329">
        <v>0.27052883976118003</v>
      </c>
      <c r="P329">
        <v>9.9790321400000006E-6</v>
      </c>
      <c r="Q329">
        <v>1.3607771100000001E-6</v>
      </c>
    </row>
    <row r="330" spans="3:17">
      <c r="C330" t="s">
        <v>590</v>
      </c>
      <c r="D330" t="s">
        <v>591</v>
      </c>
      <c r="E330">
        <v>1184.241</v>
      </c>
      <c r="F330">
        <v>0.13900000000000001</v>
      </c>
      <c r="G330">
        <v>1.7999999999999999E-2</v>
      </c>
      <c r="H330">
        <v>1193.0909999999999</v>
      </c>
      <c r="I330">
        <v>0.86</v>
      </c>
      <c r="J330">
        <v>0.82799999999999996</v>
      </c>
      <c r="K330">
        <v>0.23400000000000001</v>
      </c>
      <c r="O330">
        <v>0.53716268184117</v>
      </c>
      <c r="P330">
        <v>6.3049339430000016E-5</v>
      </c>
      <c r="Q330">
        <v>8.1646626599999996E-6</v>
      </c>
    </row>
    <row r="331" spans="3:17">
      <c r="C331" t="s">
        <v>592</v>
      </c>
      <c r="D331" t="s">
        <v>593</v>
      </c>
      <c r="E331">
        <v>253.11199999999999</v>
      </c>
      <c r="F331">
        <v>1.7999999999999999E-2</v>
      </c>
      <c r="G331">
        <v>2E-3</v>
      </c>
      <c r="H331">
        <v>253.88900000000001</v>
      </c>
      <c r="I331">
        <v>0.13600000000000001</v>
      </c>
      <c r="J331">
        <v>0.13600000000000001</v>
      </c>
      <c r="K331">
        <v>9.1999999999999998E-2</v>
      </c>
      <c r="O331">
        <v>0.11480967195544001</v>
      </c>
      <c r="P331">
        <v>8.1646626599999996E-6</v>
      </c>
      <c r="Q331">
        <v>9.071847400000001E-7</v>
      </c>
    </row>
    <row r="332" spans="3:17">
      <c r="C332" t="s">
        <v>594</v>
      </c>
      <c r="D332" t="s">
        <v>595</v>
      </c>
      <c r="E332">
        <v>715.96600000000001</v>
      </c>
      <c r="F332">
        <v>6.0999999999999999E-2</v>
      </c>
      <c r="G332">
        <v>8.0000000000000002E-3</v>
      </c>
      <c r="H332">
        <v>719.97900000000004</v>
      </c>
      <c r="I332">
        <v>0.33300000000000002</v>
      </c>
      <c r="J332">
        <v>0.28799999999999998</v>
      </c>
      <c r="K332">
        <v>0.48</v>
      </c>
      <c r="O332">
        <v>0.32475671477942003</v>
      </c>
      <c r="P332">
        <v>2.7669134570000002E-5</v>
      </c>
      <c r="Q332">
        <v>3.6287389600000004E-6</v>
      </c>
    </row>
    <row r="333" spans="3:17">
      <c r="C333" t="s">
        <v>596</v>
      </c>
      <c r="D333" t="s">
        <v>597</v>
      </c>
      <c r="E333">
        <v>1312.56</v>
      </c>
      <c r="F333">
        <v>0.129</v>
      </c>
      <c r="G333">
        <v>1.7999999999999999E-2</v>
      </c>
      <c r="H333">
        <v>1321.1849999999999</v>
      </c>
      <c r="I333">
        <v>0.79800000000000004</v>
      </c>
      <c r="J333">
        <v>0.79200000000000004</v>
      </c>
      <c r="K333">
        <v>1.296</v>
      </c>
      <c r="O333">
        <v>0.59536720116719999</v>
      </c>
      <c r="P333">
        <v>5.8513415730000006E-5</v>
      </c>
      <c r="Q333">
        <v>8.1646626599999996E-6</v>
      </c>
    </row>
    <row r="334" spans="3:17">
      <c r="C334" t="s">
        <v>598</v>
      </c>
      <c r="D334" t="s">
        <v>599</v>
      </c>
      <c r="E334">
        <v>1166.096</v>
      </c>
      <c r="F334">
        <v>0.11700000000000001</v>
      </c>
      <c r="G334">
        <v>1.7000000000000001E-2</v>
      </c>
      <c r="H334">
        <v>1174.029</v>
      </c>
      <c r="I334">
        <v>0.82499999999999996</v>
      </c>
      <c r="J334">
        <v>0.65200000000000002</v>
      </c>
      <c r="K334">
        <v>0.92500000000000004</v>
      </c>
      <c r="O334">
        <v>0.52893224828752006</v>
      </c>
      <c r="P334">
        <v>5.307030729000001E-5</v>
      </c>
      <c r="Q334">
        <v>7.711070290000001E-6</v>
      </c>
    </row>
    <row r="335" spans="3:17">
      <c r="C335" t="s">
        <v>600</v>
      </c>
      <c r="D335" t="s">
        <v>601</v>
      </c>
      <c r="E335">
        <v>1273.615</v>
      </c>
      <c r="F335">
        <v>0.123</v>
      </c>
      <c r="G335">
        <v>1.7999999999999999E-2</v>
      </c>
      <c r="H335">
        <v>1281.944</v>
      </c>
      <c r="I335">
        <v>0.67300000000000004</v>
      </c>
      <c r="J335">
        <v>0.68899999999999995</v>
      </c>
      <c r="K335">
        <v>0.41799999999999998</v>
      </c>
      <c r="O335">
        <v>0.57770204631755007</v>
      </c>
      <c r="P335">
        <v>5.5791861510000005E-5</v>
      </c>
      <c r="Q335">
        <v>8.1646626599999996E-6</v>
      </c>
    </row>
    <row r="336" spans="3:17">
      <c r="C336" t="s">
        <v>602</v>
      </c>
      <c r="D336" t="s">
        <v>603</v>
      </c>
      <c r="E336">
        <v>1163.1869999999999</v>
      </c>
      <c r="F336">
        <v>0.124</v>
      </c>
      <c r="G336">
        <v>1.7999999999999999E-2</v>
      </c>
      <c r="H336">
        <v>1171.606</v>
      </c>
      <c r="I336">
        <v>0.64200000000000002</v>
      </c>
      <c r="J336">
        <v>0.72</v>
      </c>
      <c r="K336">
        <v>0.33300000000000002</v>
      </c>
      <c r="O336">
        <v>0.52761274808319003</v>
      </c>
      <c r="P336">
        <v>5.6245453880000005E-5</v>
      </c>
      <c r="Q336">
        <v>8.1646626599999996E-6</v>
      </c>
    </row>
    <row r="337" spans="3:17">
      <c r="C337" t="s">
        <v>604</v>
      </c>
      <c r="D337" t="s">
        <v>605</v>
      </c>
      <c r="E337">
        <v>1166.5820000000001</v>
      </c>
      <c r="F337">
        <v>9.0999999999999998E-2</v>
      </c>
      <c r="G337">
        <v>1.2999999999999999E-2</v>
      </c>
      <c r="H337">
        <v>1172.7550000000001</v>
      </c>
      <c r="I337">
        <v>0.83199999999999996</v>
      </c>
      <c r="J337">
        <v>0.88200000000000001</v>
      </c>
      <c r="K337">
        <v>1.242</v>
      </c>
      <c r="O337">
        <v>0.52915269417934008</v>
      </c>
      <c r="P337">
        <v>4.1276905670000003E-5</v>
      </c>
      <c r="Q337">
        <v>5.89670081E-6</v>
      </c>
    </row>
    <row r="338" spans="3:17">
      <c r="C338" t="s">
        <v>606</v>
      </c>
      <c r="D338" t="s">
        <v>607</v>
      </c>
      <c r="E338">
        <v>854.64499999999998</v>
      </c>
      <c r="F338">
        <v>5.5E-2</v>
      </c>
      <c r="G338">
        <v>8.0000000000000002E-3</v>
      </c>
      <c r="H338">
        <v>858.36900000000003</v>
      </c>
      <c r="I338">
        <v>0.61399999999999999</v>
      </c>
      <c r="J338">
        <v>0.67100000000000004</v>
      </c>
      <c r="K338">
        <v>0.96</v>
      </c>
      <c r="O338">
        <v>0.38766045105865005</v>
      </c>
      <c r="P338">
        <v>2.4947580350000004E-5</v>
      </c>
      <c r="Q338">
        <v>3.6287389600000004E-6</v>
      </c>
    </row>
    <row r="339" spans="3:17">
      <c r="C339" t="s">
        <v>608</v>
      </c>
      <c r="D339" t="s">
        <v>609</v>
      </c>
      <c r="E339">
        <v>1664.15</v>
      </c>
      <c r="F339">
        <v>0.185</v>
      </c>
      <c r="G339">
        <v>2.7E-2</v>
      </c>
      <c r="H339">
        <v>1676.7819999999999</v>
      </c>
      <c r="I339">
        <v>1.06</v>
      </c>
      <c r="J339">
        <v>0.79100000000000004</v>
      </c>
      <c r="K339">
        <v>2.488</v>
      </c>
      <c r="O339">
        <v>0.75484574253550007</v>
      </c>
      <c r="P339">
        <v>8.3914588450000001E-5</v>
      </c>
      <c r="Q339">
        <v>1.224699399E-5</v>
      </c>
    </row>
    <row r="340" spans="3:17">
      <c r="C340" t="s">
        <v>610</v>
      </c>
      <c r="D340" t="s">
        <v>611</v>
      </c>
      <c r="E340">
        <v>1027.9280000000001</v>
      </c>
      <c r="F340">
        <v>8.1000000000000003E-2</v>
      </c>
      <c r="G340">
        <v>1.2E-2</v>
      </c>
      <c r="H340">
        <v>1033.471</v>
      </c>
      <c r="I340">
        <v>0.496</v>
      </c>
      <c r="J340">
        <v>0.433</v>
      </c>
      <c r="K340">
        <v>0.29699999999999999</v>
      </c>
      <c r="O340">
        <v>0.46626029770936012</v>
      </c>
      <c r="P340">
        <v>3.6740981970000007E-5</v>
      </c>
      <c r="Q340">
        <v>5.4431084400000006E-6</v>
      </c>
    </row>
    <row r="341" spans="3:17">
      <c r="C341" t="s">
        <v>612</v>
      </c>
      <c r="D341" t="s">
        <v>613</v>
      </c>
      <c r="E341">
        <v>1031.537</v>
      </c>
      <c r="F341">
        <v>9.7000000000000003E-2</v>
      </c>
      <c r="G341">
        <v>1.4E-2</v>
      </c>
      <c r="H341">
        <v>1038.127</v>
      </c>
      <c r="I341">
        <v>0.55100000000000005</v>
      </c>
      <c r="J341">
        <v>0.504</v>
      </c>
      <c r="K341">
        <v>0.61899999999999999</v>
      </c>
      <c r="O341">
        <v>0.46789731257269007</v>
      </c>
      <c r="P341">
        <v>4.3998459890000005E-5</v>
      </c>
      <c r="Q341">
        <v>6.3502931800000011E-6</v>
      </c>
    </row>
    <row r="342" spans="3:17">
      <c r="C342" t="s">
        <v>614</v>
      </c>
      <c r="D342" t="s">
        <v>615</v>
      </c>
      <c r="E342">
        <v>743.32799999999997</v>
      </c>
      <c r="F342">
        <v>6.7000000000000004E-2</v>
      </c>
      <c r="G342">
        <v>8.9999999999999993E-3</v>
      </c>
      <c r="H342">
        <v>747.51300000000003</v>
      </c>
      <c r="I342">
        <v>0.437</v>
      </c>
      <c r="J342">
        <v>0.42599999999999999</v>
      </c>
      <c r="K342">
        <v>0.26300000000000001</v>
      </c>
      <c r="O342">
        <v>0.33716790920736001</v>
      </c>
      <c r="P342">
        <v>3.0390688790000004E-5</v>
      </c>
      <c r="Q342">
        <v>4.0823313299999998E-6</v>
      </c>
    </row>
    <row r="343" spans="3:17">
      <c r="C343" t="s">
        <v>616</v>
      </c>
      <c r="E343">
        <v>947.18200000000002</v>
      </c>
      <c r="F343">
        <v>8.5000000000000006E-2</v>
      </c>
      <c r="G343">
        <v>1.2E-2</v>
      </c>
      <c r="H343">
        <v>952.87699999999995</v>
      </c>
      <c r="I343">
        <v>0.61899999999999999</v>
      </c>
      <c r="J343">
        <v>0.57999999999999996</v>
      </c>
      <c r="K343">
        <v>0.67500000000000004</v>
      </c>
      <c r="O343">
        <v>0.42963452820134007</v>
      </c>
      <c r="P343">
        <v>3.8555351450000009E-5</v>
      </c>
      <c r="Q343">
        <v>5.4431084400000006E-6</v>
      </c>
    </row>
    <row r="346" spans="3:17">
      <c r="C346" t="s">
        <v>617</v>
      </c>
      <c r="O346">
        <v>0.81</v>
      </c>
      <c r="P346">
        <v>0</v>
      </c>
      <c r="Q346">
        <v>0</v>
      </c>
    </row>
    <row r="347" spans="3:17">
      <c r="C347" t="s">
        <v>619</v>
      </c>
      <c r="O347">
        <v>1.02</v>
      </c>
      <c r="P347">
        <v>0</v>
      </c>
      <c r="Q347">
        <v>0</v>
      </c>
    </row>
    <row r="348" spans="3:17">
      <c r="C348" t="s">
        <v>621</v>
      </c>
      <c r="O348">
        <v>0.81</v>
      </c>
      <c r="P348">
        <v>0</v>
      </c>
      <c r="Q348">
        <v>0</v>
      </c>
    </row>
    <row r="349" spans="3:17">
      <c r="C349" t="s">
        <v>623</v>
      </c>
      <c r="O349">
        <v>0.44</v>
      </c>
      <c r="P349">
        <v>0</v>
      </c>
      <c r="Q349">
        <v>0</v>
      </c>
    </row>
    <row r="350" spans="3:17">
      <c r="C350" t="s">
        <v>625</v>
      </c>
      <c r="O350">
        <v>0.69</v>
      </c>
      <c r="P350">
        <v>0</v>
      </c>
      <c r="Q350">
        <v>0</v>
      </c>
    </row>
    <row r="351" spans="3:17">
      <c r="C351" t="s">
        <v>627</v>
      </c>
      <c r="O351">
        <v>0.15</v>
      </c>
      <c r="P351">
        <v>0</v>
      </c>
      <c r="Q351">
        <v>0</v>
      </c>
    </row>
    <row r="352" spans="3:17">
      <c r="C352" t="s">
        <v>629</v>
      </c>
      <c r="O352">
        <v>0.63</v>
      </c>
      <c r="P352">
        <v>0</v>
      </c>
      <c r="Q352">
        <v>0</v>
      </c>
    </row>
    <row r="357" spans="3:17">
      <c r="D357" t="s">
        <v>631</v>
      </c>
      <c r="I357" t="s">
        <v>632</v>
      </c>
      <c r="K357">
        <v>2016</v>
      </c>
      <c r="L357" t="s">
        <v>633</v>
      </c>
    </row>
    <row r="358" spans="3:17">
      <c r="C358" t="s">
        <v>634</v>
      </c>
      <c r="D358" t="s">
        <v>635</v>
      </c>
      <c r="I358">
        <v>140</v>
      </c>
      <c r="K358">
        <v>140</v>
      </c>
      <c r="L358">
        <v>130</v>
      </c>
    </row>
    <row r="359" spans="3:17">
      <c r="C359" t="s">
        <v>634</v>
      </c>
      <c r="D359" t="s">
        <v>636</v>
      </c>
      <c r="I359">
        <v>0.01</v>
      </c>
      <c r="K359">
        <v>0</v>
      </c>
      <c r="L359">
        <v>0</v>
      </c>
    </row>
    <row r="360" spans="3:17">
      <c r="C360" t="s">
        <v>634</v>
      </c>
      <c r="D360" t="s">
        <v>638</v>
      </c>
      <c r="I360">
        <v>3.0000000000000001E-3</v>
      </c>
      <c r="K360">
        <v>0</v>
      </c>
      <c r="L360">
        <v>0</v>
      </c>
      <c r="O360">
        <v>130</v>
      </c>
      <c r="P360">
        <v>0</v>
      </c>
      <c r="Q360">
        <v>0</v>
      </c>
    </row>
    <row r="361" spans="3:17">
      <c r="C361" t="s">
        <v>634</v>
      </c>
      <c r="D361" s="208" t="s">
        <v>639</v>
      </c>
      <c r="E361" s="208"/>
      <c r="F361" s="208"/>
      <c r="G361" s="208"/>
      <c r="H361" s="208"/>
      <c r="I361" s="208">
        <v>140</v>
      </c>
      <c r="J361" s="208"/>
      <c r="K361" s="208">
        <v>140</v>
      </c>
      <c r="L361" s="208">
        <v>130</v>
      </c>
      <c r="O361">
        <v>0.13</v>
      </c>
      <c r="P361">
        <v>0</v>
      </c>
      <c r="Q361">
        <v>0</v>
      </c>
    </row>
    <row r="362" spans="3:17">
      <c r="C362" t="s">
        <v>640</v>
      </c>
      <c r="D362" t="s">
        <v>635</v>
      </c>
      <c r="I362">
        <v>37</v>
      </c>
      <c r="K362">
        <v>37</v>
      </c>
      <c r="L362">
        <v>40</v>
      </c>
    </row>
    <row r="363" spans="3:17">
      <c r="C363" t="s">
        <v>640</v>
      </c>
      <c r="D363" t="s">
        <v>636</v>
      </c>
      <c r="I363">
        <v>5.9999999999999995E-4</v>
      </c>
      <c r="K363">
        <v>5.9999999999999995E-4</v>
      </c>
      <c r="L363">
        <v>5.9999999999999995E-4</v>
      </c>
    </row>
    <row r="364" spans="3:17">
      <c r="C364" t="s">
        <v>640</v>
      </c>
      <c r="D364" t="s">
        <v>638</v>
      </c>
      <c r="I364">
        <v>1E-3</v>
      </c>
      <c r="K364">
        <v>1E-3</v>
      </c>
      <c r="L364">
        <v>1E-3</v>
      </c>
      <c r="O364">
        <v>40</v>
      </c>
      <c r="P364">
        <v>5.9999999999999995E-4</v>
      </c>
      <c r="Q364">
        <v>1E-3</v>
      </c>
    </row>
    <row r="365" spans="3:17">
      <c r="C365" t="s">
        <v>641</v>
      </c>
      <c r="D365" s="208" t="s">
        <v>639</v>
      </c>
      <c r="E365" s="208"/>
      <c r="F365" s="208"/>
      <c r="G365" s="208"/>
      <c r="H365" s="208"/>
      <c r="I365" s="208">
        <v>37</v>
      </c>
      <c r="J365" s="208"/>
      <c r="K365" s="208">
        <v>37</v>
      </c>
      <c r="L365" s="208">
        <v>40</v>
      </c>
      <c r="O365">
        <v>0.04</v>
      </c>
      <c r="P365">
        <v>5.9999999999999997E-7</v>
      </c>
      <c r="Q365">
        <v>9.9999999999999995E-7</v>
      </c>
    </row>
    <row r="366" spans="3:17">
      <c r="C366" t="s">
        <v>642</v>
      </c>
      <c r="D366" t="s">
        <v>635</v>
      </c>
      <c r="I366">
        <v>25</v>
      </c>
      <c r="K366">
        <v>7</v>
      </c>
      <c r="L366">
        <v>14</v>
      </c>
    </row>
    <row r="367" spans="3:17">
      <c r="C367" t="s">
        <v>642</v>
      </c>
      <c r="D367" t="s">
        <v>636</v>
      </c>
      <c r="I367">
        <v>5.0000000000000001E-4</v>
      </c>
      <c r="K367">
        <v>2.0000000000000001E-4</v>
      </c>
      <c r="L367">
        <v>5.0000000000000001E-4</v>
      </c>
    </row>
    <row r="368" spans="3:17">
      <c r="C368" t="s">
        <v>642</v>
      </c>
      <c r="D368" t="s">
        <v>638</v>
      </c>
      <c r="I368">
        <v>5.0000000000000001E-4</v>
      </c>
      <c r="K368">
        <v>1E-4</v>
      </c>
      <c r="L368">
        <v>2.0000000000000001E-4</v>
      </c>
      <c r="O368">
        <v>14</v>
      </c>
      <c r="P368">
        <v>5.0000000000000001E-4</v>
      </c>
      <c r="Q368">
        <v>2.0000000000000001E-4</v>
      </c>
    </row>
    <row r="369" spans="3:17">
      <c r="C369" t="s">
        <v>643</v>
      </c>
      <c r="D369" s="208" t="s">
        <v>639</v>
      </c>
      <c r="E369" s="208"/>
      <c r="F369" s="208"/>
      <c r="G369" s="208"/>
      <c r="H369" s="208"/>
      <c r="I369" s="208">
        <v>25</v>
      </c>
      <c r="J369" s="208"/>
      <c r="K369" s="208">
        <v>7</v>
      </c>
      <c r="L369" s="208">
        <v>14</v>
      </c>
      <c r="O369">
        <v>1.4E-2</v>
      </c>
      <c r="P369">
        <v>4.9999999999999998E-7</v>
      </c>
      <c r="Q369">
        <v>2.0000000000000002E-7</v>
      </c>
    </row>
    <row r="370" spans="3:17">
      <c r="C370" t="s">
        <v>644</v>
      </c>
      <c r="D370" t="s">
        <v>635</v>
      </c>
      <c r="I370">
        <v>670</v>
      </c>
      <c r="K370">
        <v>700</v>
      </c>
      <c r="L370">
        <v>670</v>
      </c>
    </row>
    <row r="371" spans="3:17">
      <c r="C371" t="s">
        <v>644</v>
      </c>
      <c r="D371" t="s">
        <v>636</v>
      </c>
      <c r="I371">
        <v>0.02</v>
      </c>
      <c r="K371">
        <v>0.03</v>
      </c>
      <c r="L371">
        <v>0.03</v>
      </c>
    </row>
    <row r="372" spans="3:17">
      <c r="C372" t="s">
        <v>644</v>
      </c>
      <c r="D372" t="s">
        <v>638</v>
      </c>
      <c r="I372">
        <v>0.01</v>
      </c>
      <c r="K372">
        <v>0.01</v>
      </c>
      <c r="L372">
        <v>0.01</v>
      </c>
      <c r="O372">
        <v>670</v>
      </c>
      <c r="P372">
        <v>0.03</v>
      </c>
      <c r="Q372">
        <v>0.01</v>
      </c>
    </row>
    <row r="373" spans="3:17">
      <c r="C373" t="s">
        <v>645</v>
      </c>
      <c r="D373" s="208" t="s">
        <v>639</v>
      </c>
      <c r="E373" s="208"/>
      <c r="F373" s="208"/>
      <c r="G373" s="208"/>
      <c r="H373" s="208"/>
      <c r="I373" s="208">
        <v>680</v>
      </c>
      <c r="J373" s="208"/>
      <c r="K373" s="208">
        <v>670</v>
      </c>
      <c r="L373" s="208">
        <v>670</v>
      </c>
      <c r="O373">
        <v>0.67</v>
      </c>
      <c r="P373">
        <v>2.9999999999999997E-5</v>
      </c>
      <c r="Q373">
        <v>1.0000000000000001E-5</v>
      </c>
    </row>
    <row r="374" spans="3:17">
      <c r="C374" t="s">
        <v>646</v>
      </c>
      <c r="D374" t="s">
        <v>635</v>
      </c>
      <c r="I374">
        <v>330</v>
      </c>
      <c r="K374">
        <v>320</v>
      </c>
      <c r="L374">
        <v>310</v>
      </c>
    </row>
    <row r="375" spans="3:17">
      <c r="C375" t="s">
        <v>646</v>
      </c>
      <c r="D375" t="s">
        <v>636</v>
      </c>
      <c r="I375">
        <v>0.02</v>
      </c>
      <c r="K375">
        <v>0.02</v>
      </c>
      <c r="L375">
        <v>0.02</v>
      </c>
    </row>
    <row r="376" spans="3:17">
      <c r="C376" t="s">
        <v>646</v>
      </c>
      <c r="D376" t="s">
        <v>638</v>
      </c>
      <c r="I376">
        <v>5.0000000000000001E-3</v>
      </c>
      <c r="K376">
        <v>5.0000000000000001E-3</v>
      </c>
      <c r="L376">
        <v>4.0000000000000001E-3</v>
      </c>
      <c r="O376">
        <v>310</v>
      </c>
      <c r="P376">
        <v>0.02</v>
      </c>
      <c r="Q376">
        <v>4.0000000000000001E-3</v>
      </c>
    </row>
    <row r="377" spans="3:17">
      <c r="C377" t="s">
        <v>647</v>
      </c>
      <c r="D377" s="208" t="s">
        <v>639</v>
      </c>
      <c r="E377" s="208"/>
      <c r="F377" s="208"/>
      <c r="G377" s="208"/>
      <c r="H377" s="208"/>
      <c r="I377" s="208">
        <v>340</v>
      </c>
      <c r="J377" s="208"/>
      <c r="K377" s="208">
        <v>320</v>
      </c>
      <c r="L377" s="208">
        <v>310</v>
      </c>
      <c r="O377">
        <v>0.31</v>
      </c>
      <c r="P377">
        <v>2.0000000000000002E-5</v>
      </c>
      <c r="Q377">
        <v>3.9999999999999998E-6</v>
      </c>
    </row>
    <row r="378" spans="3:17">
      <c r="C378" t="s">
        <v>648</v>
      </c>
      <c r="D378" t="s">
        <v>635</v>
      </c>
      <c r="I378">
        <v>1.2</v>
      </c>
      <c r="K378">
        <v>1.2</v>
      </c>
      <c r="L378">
        <v>1.2</v>
      </c>
    </row>
    <row r="379" spans="3:17">
      <c r="C379" t="s">
        <v>648</v>
      </c>
      <c r="D379" t="s">
        <v>636</v>
      </c>
      <c r="I379">
        <v>0</v>
      </c>
      <c r="K379">
        <v>0</v>
      </c>
      <c r="L379">
        <v>0</v>
      </c>
    </row>
    <row r="380" spans="3:17">
      <c r="C380" t="s">
        <v>648</v>
      </c>
      <c r="D380" t="s">
        <v>638</v>
      </c>
      <c r="I380">
        <v>1E-4</v>
      </c>
      <c r="K380">
        <v>1E-4</v>
      </c>
      <c r="L380">
        <v>1E-4</v>
      </c>
      <c r="O380">
        <v>1.2</v>
      </c>
      <c r="P380">
        <v>0</v>
      </c>
      <c r="Q380">
        <v>1E-4</v>
      </c>
    </row>
    <row r="381" spans="3:17">
      <c r="C381" t="s">
        <v>649</v>
      </c>
      <c r="D381" s="208" t="s">
        <v>639</v>
      </c>
      <c r="E381" s="208"/>
      <c r="F381" s="208"/>
      <c r="G381" s="208"/>
      <c r="H381" s="208"/>
      <c r="I381" s="208">
        <v>1.3</v>
      </c>
      <c r="J381" s="208"/>
      <c r="K381" s="208">
        <v>1.3</v>
      </c>
      <c r="L381" s="208">
        <v>1.3</v>
      </c>
      <c r="O381">
        <v>1.1999999999999999E-3</v>
      </c>
      <c r="P381">
        <v>0</v>
      </c>
      <c r="Q381">
        <v>1.0000000000000001E-7</v>
      </c>
    </row>
    <row r="382" spans="3:17">
      <c r="C382" t="s">
        <v>650</v>
      </c>
      <c r="D382" t="s">
        <v>635</v>
      </c>
      <c r="I382">
        <v>35</v>
      </c>
      <c r="K382">
        <v>36</v>
      </c>
      <c r="L382">
        <v>17</v>
      </c>
    </row>
    <row r="383" spans="3:17">
      <c r="C383" t="s">
        <v>650</v>
      </c>
      <c r="D383" t="s">
        <v>636</v>
      </c>
      <c r="I383">
        <v>0.01</v>
      </c>
      <c r="K383">
        <v>0.01</v>
      </c>
      <c r="L383">
        <v>0</v>
      </c>
    </row>
    <row r="384" spans="3:17">
      <c r="C384" t="s">
        <v>650</v>
      </c>
      <c r="D384" t="s">
        <v>638</v>
      </c>
      <c r="I384">
        <v>1E-3</v>
      </c>
      <c r="K384">
        <v>1E-3</v>
      </c>
      <c r="L384">
        <v>1E-3</v>
      </c>
      <c r="O384">
        <v>17</v>
      </c>
      <c r="P384">
        <v>0</v>
      </c>
      <c r="Q384">
        <v>1E-3</v>
      </c>
    </row>
    <row r="385" spans="3:17">
      <c r="C385" t="s">
        <v>66</v>
      </c>
      <c r="D385" s="208" t="s">
        <v>639</v>
      </c>
      <c r="E385" s="208"/>
      <c r="F385" s="208"/>
      <c r="G385" s="208"/>
      <c r="H385" s="208"/>
      <c r="I385" s="208">
        <v>36</v>
      </c>
      <c r="J385" s="208"/>
      <c r="K385" s="208">
        <v>37</v>
      </c>
      <c r="L385" s="208">
        <v>17</v>
      </c>
      <c r="O385">
        <v>1.7000000000000001E-2</v>
      </c>
      <c r="P385">
        <v>0</v>
      </c>
      <c r="Q385">
        <v>9.9999999999999995E-7</v>
      </c>
    </row>
    <row r="386" spans="3:17">
      <c r="C386" t="s">
        <v>651</v>
      </c>
      <c r="D386" t="s">
        <v>635</v>
      </c>
      <c r="I386">
        <v>1.9</v>
      </c>
      <c r="K386">
        <v>1.9</v>
      </c>
      <c r="L386">
        <v>1.9</v>
      </c>
    </row>
    <row r="387" spans="3:17">
      <c r="C387" t="s">
        <v>651</v>
      </c>
      <c r="D387" t="s">
        <v>636</v>
      </c>
      <c r="I387">
        <v>1E-4</v>
      </c>
      <c r="K387">
        <v>1E-4</v>
      </c>
      <c r="L387">
        <v>1E-4</v>
      </c>
    </row>
    <row r="388" spans="3:17">
      <c r="C388" t="s">
        <v>651</v>
      </c>
      <c r="D388" t="s">
        <v>638</v>
      </c>
      <c r="I388">
        <v>1E-4</v>
      </c>
      <c r="K388">
        <v>1E-4</v>
      </c>
      <c r="L388">
        <v>1E-4</v>
      </c>
      <c r="O388">
        <v>1.9</v>
      </c>
      <c r="P388">
        <v>1E-4</v>
      </c>
      <c r="Q388">
        <v>1E-4</v>
      </c>
    </row>
    <row r="389" spans="3:17">
      <c r="C389" t="s">
        <v>652</v>
      </c>
      <c r="D389" s="208" t="s">
        <v>639</v>
      </c>
      <c r="E389" s="208"/>
      <c r="F389" s="208"/>
      <c r="G389" s="208"/>
      <c r="H389" s="208"/>
      <c r="I389" s="208">
        <v>1.9</v>
      </c>
      <c r="J389" s="208"/>
      <c r="K389" s="208">
        <v>1.9</v>
      </c>
      <c r="L389" s="208">
        <v>1.9</v>
      </c>
      <c r="O389">
        <v>1.9E-3</v>
      </c>
      <c r="P389">
        <v>1.0000000000000001E-7</v>
      </c>
      <c r="Q389">
        <v>1.0000000000000001E-7</v>
      </c>
    </row>
    <row r="390" spans="3:17">
      <c r="C390" t="s">
        <v>653</v>
      </c>
      <c r="D390" t="s">
        <v>635</v>
      </c>
      <c r="I390">
        <v>650</v>
      </c>
      <c r="K390">
        <v>650</v>
      </c>
      <c r="L390">
        <v>650</v>
      </c>
    </row>
    <row r="391" spans="3:17">
      <c r="C391" t="s">
        <v>653</v>
      </c>
      <c r="D391" t="s">
        <v>636</v>
      </c>
      <c r="I391">
        <v>0.05</v>
      </c>
      <c r="K391">
        <v>0.05</v>
      </c>
      <c r="L391">
        <v>0.05</v>
      </c>
    </row>
    <row r="392" spans="3:17">
      <c r="C392" t="s">
        <v>653</v>
      </c>
      <c r="D392" t="s">
        <v>638</v>
      </c>
      <c r="I392">
        <v>0.02</v>
      </c>
      <c r="K392">
        <v>0.02</v>
      </c>
      <c r="L392">
        <v>0.02</v>
      </c>
      <c r="O392">
        <v>650</v>
      </c>
      <c r="P392">
        <v>0.05</v>
      </c>
      <c r="Q392">
        <v>0.02</v>
      </c>
    </row>
    <row r="393" spans="3:17">
      <c r="C393" t="s">
        <v>654</v>
      </c>
      <c r="D393" s="208" t="s">
        <v>639</v>
      </c>
      <c r="E393" s="208"/>
      <c r="F393" s="208"/>
      <c r="G393" s="208"/>
      <c r="H393" s="208"/>
      <c r="I393" s="208">
        <v>660</v>
      </c>
      <c r="J393" s="208"/>
      <c r="K393" s="208">
        <v>660</v>
      </c>
      <c r="L393" s="208">
        <v>660</v>
      </c>
      <c r="O393">
        <v>0.65</v>
      </c>
      <c r="P393">
        <v>5.0000000000000002E-5</v>
      </c>
      <c r="Q393">
        <v>2.0000000000000002E-5</v>
      </c>
    </row>
    <row r="394" spans="3:17">
      <c r="C394" t="s">
        <v>655</v>
      </c>
      <c r="D394" t="s">
        <v>635</v>
      </c>
      <c r="I394">
        <v>760</v>
      </c>
      <c r="K394">
        <v>740</v>
      </c>
      <c r="L394">
        <v>750</v>
      </c>
    </row>
    <row r="395" spans="3:17">
      <c r="C395" t="s">
        <v>655</v>
      </c>
      <c r="D395" t="s">
        <v>636</v>
      </c>
      <c r="I395">
        <v>0.04</v>
      </c>
      <c r="K395">
        <v>0.04</v>
      </c>
      <c r="L395">
        <v>0.04</v>
      </c>
    </row>
    <row r="396" spans="3:17">
      <c r="C396" t="s">
        <v>655</v>
      </c>
      <c r="D396" t="s">
        <v>638</v>
      </c>
      <c r="I396">
        <v>0.01</v>
      </c>
      <c r="K396">
        <v>0.01</v>
      </c>
      <c r="L396">
        <v>0.01</v>
      </c>
      <c r="O396">
        <v>750</v>
      </c>
      <c r="P396">
        <v>0.04</v>
      </c>
      <c r="Q396">
        <v>0.01</v>
      </c>
    </row>
    <row r="397" spans="3:17">
      <c r="C397" t="s">
        <v>656</v>
      </c>
      <c r="D397" s="208" t="s">
        <v>639</v>
      </c>
      <c r="E397" s="208"/>
      <c r="F397" s="208"/>
      <c r="G397" s="208"/>
      <c r="H397" s="208"/>
      <c r="I397" s="208">
        <v>760</v>
      </c>
      <c r="J397" s="208"/>
      <c r="K397" s="208">
        <v>750</v>
      </c>
      <c r="L397" s="208">
        <v>750</v>
      </c>
      <c r="O397">
        <v>0.75</v>
      </c>
      <c r="P397">
        <v>4.0000000000000003E-5</v>
      </c>
      <c r="Q397">
        <v>1.0000000000000001E-5</v>
      </c>
    </row>
    <row r="398" spans="3:17">
      <c r="C398" t="s">
        <v>657</v>
      </c>
      <c r="D398" t="s">
        <v>635</v>
      </c>
      <c r="I398">
        <v>10.8</v>
      </c>
      <c r="K398">
        <v>11.2</v>
      </c>
      <c r="L398">
        <v>9</v>
      </c>
    </row>
    <row r="399" spans="3:17">
      <c r="C399" t="s">
        <v>657</v>
      </c>
      <c r="D399" t="s">
        <v>636</v>
      </c>
      <c r="I399">
        <v>3.0000000000000001E-3</v>
      </c>
      <c r="K399">
        <v>3.0000000000000001E-3</v>
      </c>
      <c r="L399">
        <v>3.0000000000000001E-3</v>
      </c>
    </row>
    <row r="400" spans="3:17">
      <c r="C400" t="s">
        <v>657</v>
      </c>
      <c r="D400" t="s">
        <v>638</v>
      </c>
      <c r="I400">
        <v>8.0000000000000004E-4</v>
      </c>
      <c r="K400">
        <v>8.0000000000000004E-4</v>
      </c>
      <c r="L400">
        <v>6.9999999999999999E-4</v>
      </c>
      <c r="O400">
        <v>9</v>
      </c>
      <c r="P400">
        <v>3.0000000000000001E-3</v>
      </c>
      <c r="Q400">
        <v>6.9999999999999999E-4</v>
      </c>
    </row>
    <row r="401" spans="3:17">
      <c r="C401" t="s">
        <v>658</v>
      </c>
      <c r="D401" s="208" t="s">
        <v>639</v>
      </c>
      <c r="E401" s="208"/>
      <c r="F401" s="208"/>
      <c r="G401" s="208"/>
      <c r="H401" s="208"/>
      <c r="I401" s="208">
        <v>11.1</v>
      </c>
      <c r="J401" s="208"/>
      <c r="K401" s="208">
        <v>11</v>
      </c>
      <c r="L401" s="208">
        <v>9.3000000000000007</v>
      </c>
      <c r="O401">
        <v>8.9999999999999993E-3</v>
      </c>
      <c r="P401">
        <v>3.0000000000000001E-6</v>
      </c>
      <c r="Q401">
        <v>6.9999999999999997E-7</v>
      </c>
    </row>
    <row r="402" spans="3:17">
      <c r="C402" t="s">
        <v>659</v>
      </c>
      <c r="D402" t="s">
        <v>635</v>
      </c>
      <c r="I402">
        <v>43</v>
      </c>
      <c r="K402">
        <v>43</v>
      </c>
      <c r="L402">
        <v>48</v>
      </c>
    </row>
    <row r="403" spans="3:17">
      <c r="C403" t="s">
        <v>659</v>
      </c>
      <c r="D403" t="s">
        <v>636</v>
      </c>
      <c r="I403">
        <v>3.0000000000000001E-3</v>
      </c>
      <c r="K403">
        <v>3.0000000000000001E-3</v>
      </c>
      <c r="L403">
        <v>4.0000000000000001E-3</v>
      </c>
    </row>
    <row r="404" spans="3:17">
      <c r="C404" t="s">
        <v>659</v>
      </c>
      <c r="D404" t="s">
        <v>638</v>
      </c>
      <c r="I404">
        <v>0.01</v>
      </c>
      <c r="K404">
        <v>0.01</v>
      </c>
      <c r="L404">
        <v>0.01</v>
      </c>
      <c r="O404">
        <v>48</v>
      </c>
      <c r="P404">
        <v>4.0000000000000001E-3</v>
      </c>
      <c r="Q404">
        <v>0.01</v>
      </c>
    </row>
    <row r="405" spans="3:17">
      <c r="C405" t="s">
        <v>660</v>
      </c>
      <c r="D405" s="208" t="s">
        <v>639</v>
      </c>
      <c r="E405" s="208"/>
      <c r="F405" s="208"/>
      <c r="G405" s="208"/>
      <c r="H405" s="208"/>
      <c r="I405" s="208">
        <v>45</v>
      </c>
      <c r="J405" s="208"/>
      <c r="K405" s="208">
        <v>45</v>
      </c>
      <c r="L405" s="208">
        <v>50</v>
      </c>
      <c r="O405">
        <v>4.8000000000000001E-2</v>
      </c>
      <c r="P405">
        <v>3.9999999999999998E-6</v>
      </c>
      <c r="Q405">
        <v>1.0000000000000001E-5</v>
      </c>
    </row>
    <row r="406" spans="3:17">
      <c r="C406" t="s">
        <v>661</v>
      </c>
      <c r="D406" t="s">
        <v>635</v>
      </c>
      <c r="I406">
        <v>190</v>
      </c>
      <c r="K406">
        <v>190</v>
      </c>
      <c r="L406">
        <v>170</v>
      </c>
    </row>
    <row r="407" spans="3:17">
      <c r="C407" t="s">
        <v>661</v>
      </c>
      <c r="D407" t="s">
        <v>636</v>
      </c>
      <c r="I407">
        <v>0.01</v>
      </c>
      <c r="K407">
        <v>0.01</v>
      </c>
      <c r="L407">
        <v>0.01</v>
      </c>
    </row>
    <row r="408" spans="3:17">
      <c r="C408" t="s">
        <v>661</v>
      </c>
      <c r="D408" t="s">
        <v>638</v>
      </c>
      <c r="I408">
        <v>0.03</v>
      </c>
      <c r="K408">
        <v>0.03</v>
      </c>
      <c r="L408">
        <v>0.02</v>
      </c>
      <c r="O408">
        <v>170</v>
      </c>
      <c r="P408">
        <v>0.01</v>
      </c>
      <c r="Q408">
        <v>0.02</v>
      </c>
    </row>
    <row r="409" spans="3:17">
      <c r="C409" t="s">
        <v>662</v>
      </c>
      <c r="D409" s="208" t="s">
        <v>639</v>
      </c>
      <c r="E409" s="208"/>
      <c r="F409" s="208"/>
      <c r="G409" s="208"/>
      <c r="H409" s="208"/>
      <c r="I409" s="208">
        <v>200</v>
      </c>
      <c r="J409" s="208"/>
      <c r="K409" s="208">
        <v>200</v>
      </c>
      <c r="L409" s="208">
        <v>180</v>
      </c>
      <c r="O409">
        <v>0.17</v>
      </c>
      <c r="P409">
        <v>1.0000000000000001E-5</v>
      </c>
      <c r="Q409">
        <v>2.0000000000000002E-5</v>
      </c>
    </row>
    <row r="412" spans="3:17">
      <c r="C412" t="s">
        <v>663</v>
      </c>
      <c r="O412">
        <v>0.96799999999999997</v>
      </c>
      <c r="P412">
        <v>0</v>
      </c>
      <c r="Q412">
        <v>0</v>
      </c>
    </row>
    <row r="413" spans="3:17">
      <c r="C413" t="s">
        <v>664</v>
      </c>
      <c r="O413">
        <v>1.1082000000000001</v>
      </c>
      <c r="P413">
        <v>0</v>
      </c>
      <c r="Q413">
        <v>0</v>
      </c>
    </row>
    <row r="414" spans="3:17">
      <c r="C414" t="s">
        <v>665</v>
      </c>
      <c r="O414">
        <v>0.80459999999999998</v>
      </c>
      <c r="P414">
        <v>0</v>
      </c>
      <c r="Q414">
        <v>0</v>
      </c>
    </row>
    <row r="415" spans="3:17">
      <c r="C415" t="s">
        <v>666</v>
      </c>
      <c r="O415">
        <v>0.90139999999999998</v>
      </c>
      <c r="P415">
        <v>0</v>
      </c>
      <c r="Q415">
        <v>0</v>
      </c>
    </row>
    <row r="416" spans="3:17">
      <c r="C416" t="s">
        <v>667</v>
      </c>
      <c r="O416">
        <v>0.91549999999999998</v>
      </c>
      <c r="P416">
        <v>0</v>
      </c>
      <c r="Q416">
        <v>0</v>
      </c>
    </row>
    <row r="417" spans="3:31">
      <c r="C417" t="s">
        <v>668</v>
      </c>
      <c r="O417">
        <v>0.8367</v>
      </c>
      <c r="P417">
        <v>0</v>
      </c>
      <c r="Q417">
        <v>0</v>
      </c>
    </row>
    <row r="418" spans="3:31">
      <c r="C418" t="s">
        <v>669</v>
      </c>
      <c r="O418">
        <v>0</v>
      </c>
      <c r="P418">
        <v>0</v>
      </c>
      <c r="Q418">
        <v>0</v>
      </c>
    </row>
    <row r="424" spans="3:31" ht="15.75">
      <c r="T424" s="218" t="s">
        <v>822</v>
      </c>
      <c r="U424" s="219" t="s">
        <v>823</v>
      </c>
      <c r="V424" s="220"/>
      <c r="W424" s="220"/>
      <c r="X424" s="220"/>
      <c r="Y424" s="220"/>
      <c r="Z424" s="220"/>
      <c r="AA424" s="220"/>
      <c r="AB424" s="220"/>
      <c r="AC424" s="220"/>
      <c r="AD424" s="221"/>
      <c r="AE424" s="2"/>
    </row>
    <row r="425" spans="3:31" ht="15.75" thickBot="1">
      <c r="T425" s="2"/>
      <c r="U425" s="2"/>
      <c r="V425" s="2"/>
      <c r="W425" s="2"/>
      <c r="X425" s="2"/>
      <c r="Y425" s="2"/>
      <c r="Z425" s="2"/>
      <c r="AA425" s="2"/>
      <c r="AB425" s="2"/>
      <c r="AC425" s="2"/>
      <c r="AD425" s="2"/>
      <c r="AE425" s="2"/>
    </row>
    <row r="426" spans="3:31" ht="39" thickBot="1">
      <c r="T426" s="2"/>
      <c r="U426" s="222" t="s">
        <v>824</v>
      </c>
      <c r="V426" s="223" t="s">
        <v>825</v>
      </c>
      <c r="W426" s="224"/>
      <c r="X426" s="2"/>
      <c r="Y426" s="2"/>
      <c r="Z426" s="2"/>
      <c r="AA426" s="2"/>
      <c r="AB426" s="2"/>
      <c r="AC426" s="2"/>
      <c r="AD426" s="2"/>
      <c r="AE426" s="2"/>
    </row>
    <row r="427" spans="3:31" ht="15.75">
      <c r="T427" s="2"/>
      <c r="U427" s="225" t="s">
        <v>826</v>
      </c>
      <c r="V427" s="226">
        <v>1</v>
      </c>
      <c r="W427" s="2"/>
      <c r="X427" s="2"/>
      <c r="Y427" s="2"/>
      <c r="Z427" s="2"/>
      <c r="AA427" s="2"/>
      <c r="AB427" s="2"/>
      <c r="AC427" s="2"/>
      <c r="AD427" s="2"/>
      <c r="AE427" s="2"/>
    </row>
    <row r="428" spans="3:31" ht="15.75">
      <c r="T428" s="2"/>
      <c r="U428" s="138" t="s">
        <v>827</v>
      </c>
      <c r="V428" s="227">
        <v>25</v>
      </c>
      <c r="W428" s="2"/>
      <c r="X428" s="2"/>
      <c r="Y428" s="2"/>
      <c r="Z428" s="2"/>
      <c r="AA428" s="2"/>
      <c r="AB428" s="2"/>
      <c r="AC428" s="2"/>
      <c r="AD428" s="2"/>
      <c r="AE428" s="2"/>
    </row>
    <row r="429" spans="3:31" ht="15.75">
      <c r="T429" s="2"/>
      <c r="U429" s="138" t="s">
        <v>828</v>
      </c>
      <c r="V429" s="227">
        <v>298</v>
      </c>
      <c r="W429" s="106"/>
      <c r="X429" s="2"/>
      <c r="Y429" s="2"/>
      <c r="Z429" s="2"/>
      <c r="AA429" s="2"/>
      <c r="AB429" s="2"/>
      <c r="AC429" s="2"/>
      <c r="AD429" s="2"/>
      <c r="AE429" s="2"/>
    </row>
    <row r="430" spans="3:31">
      <c r="T430" s="2"/>
      <c r="U430" s="138" t="s">
        <v>829</v>
      </c>
      <c r="V430" s="227">
        <v>14800</v>
      </c>
      <c r="W430" s="2"/>
      <c r="X430" s="2"/>
      <c r="Y430" s="2"/>
      <c r="Z430" s="2"/>
      <c r="AA430" s="2"/>
      <c r="AB430" s="2"/>
      <c r="AC430" s="2"/>
      <c r="AD430" s="2"/>
      <c r="AE430" s="2"/>
    </row>
    <row r="431" spans="3:31">
      <c r="T431" s="2"/>
      <c r="U431" s="138" t="s">
        <v>830</v>
      </c>
      <c r="V431" s="227">
        <v>675</v>
      </c>
      <c r="W431" s="2"/>
      <c r="X431" s="2"/>
      <c r="Y431" s="2"/>
      <c r="Z431" s="2"/>
      <c r="AA431" s="2"/>
      <c r="AB431" s="2"/>
      <c r="AC431" s="2"/>
      <c r="AD431" s="2"/>
      <c r="AE431" s="2"/>
    </row>
    <row r="432" spans="3:31">
      <c r="T432" s="2"/>
      <c r="U432" s="138" t="s">
        <v>831</v>
      </c>
      <c r="V432" s="227">
        <v>92</v>
      </c>
      <c r="W432" s="2"/>
      <c r="X432" s="2"/>
      <c r="Y432" s="2"/>
      <c r="Z432" s="2"/>
      <c r="AA432" s="2"/>
      <c r="AB432" s="2"/>
      <c r="AC432" s="2"/>
      <c r="AD432" s="2"/>
      <c r="AE432" s="2"/>
    </row>
    <row r="433" spans="20:31">
      <c r="T433" s="2"/>
      <c r="U433" s="138" t="s">
        <v>832</v>
      </c>
      <c r="V433" s="227">
        <v>3500</v>
      </c>
      <c r="W433" s="2"/>
      <c r="X433" s="2"/>
      <c r="Y433" s="904"/>
      <c r="Z433" s="904"/>
      <c r="AA433" s="904"/>
      <c r="AB433" s="904"/>
      <c r="AC433" s="904"/>
      <c r="AD433" s="904"/>
      <c r="AE433" s="904"/>
    </row>
    <row r="434" spans="20:31">
      <c r="T434" s="2"/>
      <c r="U434" s="138" t="s">
        <v>833</v>
      </c>
      <c r="V434" s="227">
        <v>1100</v>
      </c>
      <c r="W434" s="2"/>
      <c r="X434" s="2"/>
      <c r="Y434" s="904"/>
      <c r="Z434" s="904"/>
      <c r="AA434" s="904"/>
      <c r="AB434" s="904"/>
      <c r="AC434" s="904"/>
      <c r="AD434" s="904"/>
      <c r="AE434" s="904"/>
    </row>
    <row r="435" spans="20:31">
      <c r="T435" s="2"/>
      <c r="U435" s="138" t="s">
        <v>834</v>
      </c>
      <c r="V435" s="227">
        <v>1430</v>
      </c>
      <c r="W435" s="2"/>
      <c r="X435" s="2"/>
      <c r="Y435" s="2"/>
      <c r="Z435" s="2"/>
      <c r="AA435" s="2"/>
      <c r="AB435" s="2"/>
      <c r="AC435" s="2"/>
      <c r="AD435" s="2"/>
      <c r="AE435" s="2"/>
    </row>
    <row r="436" spans="20:31">
      <c r="T436" s="2"/>
      <c r="U436" s="138" t="s">
        <v>835</v>
      </c>
      <c r="V436" s="227">
        <v>353</v>
      </c>
      <c r="W436" s="2"/>
      <c r="X436" s="2"/>
      <c r="Y436" s="2"/>
      <c r="Z436" s="2"/>
      <c r="AA436" s="2"/>
      <c r="AB436" s="2"/>
      <c r="AC436" s="2"/>
      <c r="AD436" s="2"/>
      <c r="AE436" s="2"/>
    </row>
    <row r="437" spans="20:31">
      <c r="T437" s="2"/>
      <c r="U437" s="15" t="s">
        <v>836</v>
      </c>
      <c r="V437" s="227">
        <v>4470</v>
      </c>
      <c r="W437" s="2"/>
      <c r="X437" s="2"/>
      <c r="Y437" s="2"/>
      <c r="Z437" s="2"/>
      <c r="AA437" s="2"/>
      <c r="AB437" s="2"/>
      <c r="AC437" s="2"/>
      <c r="AD437" s="2"/>
      <c r="AE437" s="2"/>
    </row>
    <row r="438" spans="20:31">
      <c r="T438" s="2"/>
      <c r="U438" s="138" t="s">
        <v>837</v>
      </c>
      <c r="V438" s="227">
        <v>53</v>
      </c>
      <c r="W438" s="2"/>
      <c r="X438" s="2"/>
      <c r="Y438" s="2"/>
      <c r="Z438" s="2"/>
      <c r="AA438" s="2"/>
      <c r="AB438" s="2"/>
      <c r="AC438" s="2"/>
      <c r="AD438" s="2"/>
      <c r="AE438" s="2"/>
    </row>
    <row r="439" spans="20:31">
      <c r="T439" s="2"/>
      <c r="U439" s="138" t="s">
        <v>838</v>
      </c>
      <c r="V439" s="227">
        <v>124</v>
      </c>
      <c r="W439" s="2"/>
      <c r="X439" s="2"/>
      <c r="Y439" s="2"/>
      <c r="Z439" s="2"/>
      <c r="AA439" s="2"/>
      <c r="AB439" s="2"/>
      <c r="AC439" s="2"/>
      <c r="AD439" s="2"/>
      <c r="AE439" s="2"/>
    </row>
    <row r="440" spans="20:31">
      <c r="T440" s="2"/>
      <c r="U440" s="138" t="s">
        <v>839</v>
      </c>
      <c r="V440" s="227">
        <v>12</v>
      </c>
      <c r="W440" s="2"/>
      <c r="X440" s="2"/>
      <c r="Y440" s="2"/>
      <c r="Z440" s="2"/>
      <c r="AA440" s="2"/>
      <c r="AB440" s="2"/>
      <c r="AC440" s="2"/>
      <c r="AD440" s="2"/>
      <c r="AE440" s="2"/>
    </row>
    <row r="441" spans="20:31">
      <c r="T441" s="2"/>
      <c r="U441" s="138" t="s">
        <v>840</v>
      </c>
      <c r="V441" s="227">
        <v>3220</v>
      </c>
      <c r="W441" s="2"/>
      <c r="X441" s="2"/>
      <c r="Y441" s="904"/>
      <c r="Z441" s="904"/>
      <c r="AA441" s="904"/>
      <c r="AB441" s="904"/>
      <c r="AC441" s="904"/>
      <c r="AD441" s="904"/>
      <c r="AE441" s="904"/>
    </row>
    <row r="442" spans="20:31">
      <c r="T442" s="2"/>
      <c r="U442" s="138" t="s">
        <v>841</v>
      </c>
      <c r="V442" s="227">
        <v>1340</v>
      </c>
      <c r="W442" s="2"/>
      <c r="X442" s="2"/>
      <c r="Y442" s="904"/>
      <c r="Z442" s="904"/>
      <c r="AA442" s="904"/>
      <c r="AB442" s="904"/>
      <c r="AC442" s="904"/>
      <c r="AD442" s="904"/>
      <c r="AE442" s="904"/>
    </row>
    <row r="443" spans="20:31">
      <c r="T443" s="2"/>
      <c r="U443" s="138" t="s">
        <v>842</v>
      </c>
      <c r="V443" s="227">
        <v>1370</v>
      </c>
      <c r="W443" s="2"/>
      <c r="X443" s="2"/>
      <c r="Y443" s="2"/>
      <c r="Z443" s="2"/>
      <c r="AA443" s="2"/>
      <c r="AB443" s="2"/>
      <c r="AC443" s="2"/>
      <c r="AD443" s="2"/>
      <c r="AE443" s="2"/>
    </row>
    <row r="444" spans="20:31">
      <c r="T444" s="2"/>
      <c r="U444" s="138" t="s">
        <v>843</v>
      </c>
      <c r="V444" s="227">
        <v>9810</v>
      </c>
      <c r="W444" s="2"/>
      <c r="X444" s="2"/>
      <c r="Y444" s="2"/>
      <c r="Z444" s="2"/>
      <c r="AA444" s="2"/>
      <c r="AB444" s="2"/>
      <c r="AC444" s="2"/>
      <c r="AD444" s="2"/>
      <c r="AE444" s="2"/>
    </row>
    <row r="445" spans="20:31">
      <c r="T445" s="2"/>
      <c r="U445" s="15" t="s">
        <v>844</v>
      </c>
      <c r="V445" s="227">
        <v>693</v>
      </c>
      <c r="W445" s="2"/>
      <c r="X445" s="2"/>
      <c r="Y445" s="2"/>
      <c r="Z445" s="2"/>
      <c r="AA445" s="2"/>
      <c r="AB445" s="2"/>
      <c r="AC445" s="2"/>
      <c r="AD445" s="2"/>
      <c r="AE445" s="2"/>
    </row>
    <row r="446" spans="20:31">
      <c r="T446" s="2"/>
      <c r="U446" s="138" t="s">
        <v>845</v>
      </c>
      <c r="V446" s="227">
        <v>1030</v>
      </c>
      <c r="W446" s="2"/>
      <c r="X446" s="2"/>
      <c r="Y446" s="2"/>
      <c r="Z446" s="2"/>
      <c r="AA446" s="2"/>
      <c r="AB446" s="2"/>
      <c r="AC446" s="2"/>
      <c r="AD446" s="2"/>
      <c r="AE446" s="2"/>
    </row>
    <row r="447" spans="20:31">
      <c r="T447" s="2"/>
      <c r="U447" s="138" t="s">
        <v>846</v>
      </c>
      <c r="V447" s="227">
        <v>794</v>
      </c>
      <c r="W447" s="2"/>
      <c r="X447" s="2"/>
      <c r="Y447" s="2"/>
      <c r="Z447" s="2"/>
      <c r="AA447" s="2"/>
      <c r="AB447" s="2"/>
      <c r="AC447" s="2"/>
      <c r="AD447" s="2"/>
      <c r="AE447" s="2"/>
    </row>
    <row r="448" spans="20:31">
      <c r="T448" s="2"/>
      <c r="U448" s="15" t="s">
        <v>847</v>
      </c>
      <c r="V448" s="227">
        <v>1640</v>
      </c>
      <c r="W448" s="2"/>
      <c r="X448" s="2"/>
      <c r="Y448" s="2"/>
      <c r="Z448" s="2"/>
      <c r="AA448" s="2"/>
      <c r="AB448" s="2"/>
      <c r="AC448" s="2"/>
      <c r="AD448" s="2"/>
      <c r="AE448" s="2"/>
    </row>
    <row r="449" spans="20:31" ht="15.75">
      <c r="T449" s="2"/>
      <c r="U449" s="138" t="s">
        <v>848</v>
      </c>
      <c r="V449" s="227">
        <v>22800</v>
      </c>
      <c r="W449" s="2"/>
      <c r="X449" s="2"/>
      <c r="Y449" s="2"/>
      <c r="Z449" s="2"/>
      <c r="AA449" s="2"/>
      <c r="AB449" s="2"/>
      <c r="AC449" s="2"/>
      <c r="AD449" s="2"/>
      <c r="AE449" s="2"/>
    </row>
    <row r="450" spans="20:31" ht="15.75">
      <c r="T450" s="2"/>
      <c r="U450" s="138" t="s">
        <v>849</v>
      </c>
      <c r="V450" s="227">
        <v>17200</v>
      </c>
      <c r="W450" s="2"/>
      <c r="X450" s="2"/>
      <c r="Y450" s="2"/>
      <c r="Z450" s="2"/>
      <c r="AA450" s="2"/>
      <c r="AB450" s="2"/>
      <c r="AC450" s="2"/>
      <c r="AD450" s="2"/>
      <c r="AE450" s="2"/>
    </row>
    <row r="451" spans="20:31" ht="15.75">
      <c r="T451" s="2"/>
      <c r="U451" s="15" t="s">
        <v>850</v>
      </c>
      <c r="V451" s="227">
        <v>7390</v>
      </c>
      <c r="W451" s="2"/>
      <c r="X451" s="2"/>
      <c r="Y451" s="2"/>
      <c r="Z451" s="2"/>
      <c r="AA451" s="2"/>
      <c r="AB451" s="2"/>
      <c r="AC451" s="2"/>
      <c r="AD451" s="2"/>
      <c r="AE451" s="2"/>
    </row>
    <row r="452" spans="20:31" ht="15.75">
      <c r="T452" s="2"/>
      <c r="U452" s="15" t="s">
        <v>851</v>
      </c>
      <c r="V452" s="227">
        <v>12200</v>
      </c>
      <c r="W452" s="2"/>
      <c r="X452" s="2"/>
      <c r="Y452" s="2"/>
      <c r="Z452" s="2"/>
      <c r="AA452" s="2"/>
      <c r="AB452" s="2"/>
      <c r="AC452" s="2"/>
      <c r="AD452" s="2"/>
      <c r="AE452" s="2"/>
    </row>
    <row r="453" spans="20:31" ht="15.75">
      <c r="T453" s="2"/>
      <c r="U453" s="15" t="s">
        <v>852</v>
      </c>
      <c r="V453" s="227">
        <v>8830</v>
      </c>
      <c r="W453" s="2"/>
      <c r="X453" s="2"/>
      <c r="Y453" s="2"/>
      <c r="Z453" s="2"/>
      <c r="AA453" s="2"/>
      <c r="AB453" s="2"/>
      <c r="AC453" s="2"/>
      <c r="AD453" s="2"/>
      <c r="AE453" s="2"/>
    </row>
    <row r="454" spans="20:31" ht="15.75">
      <c r="T454" s="2"/>
      <c r="U454" s="15" t="s">
        <v>853</v>
      </c>
      <c r="V454" s="228">
        <v>10300</v>
      </c>
      <c r="W454" s="2"/>
      <c r="X454" s="2"/>
      <c r="Y454" s="2"/>
      <c r="Z454" s="2"/>
      <c r="AA454" s="2"/>
      <c r="AB454" s="2"/>
      <c r="AC454" s="2"/>
      <c r="AD454" s="2"/>
      <c r="AE454" s="2"/>
    </row>
    <row r="455" spans="20:31" ht="15.75">
      <c r="T455" s="2"/>
      <c r="U455" s="15" t="s">
        <v>854</v>
      </c>
      <c r="V455" s="227">
        <v>8860</v>
      </c>
      <c r="W455" s="2"/>
      <c r="X455" s="2"/>
      <c r="Y455" s="2"/>
      <c r="Z455" s="2"/>
      <c r="AA455" s="2"/>
      <c r="AB455" s="2"/>
      <c r="AC455" s="2"/>
      <c r="AD455" s="2"/>
      <c r="AE455" s="2"/>
    </row>
    <row r="456" spans="20:31" ht="15.75">
      <c r="T456" s="2"/>
      <c r="U456" s="15" t="s">
        <v>855</v>
      </c>
      <c r="V456" s="227">
        <v>9160</v>
      </c>
      <c r="W456" s="2"/>
      <c r="X456" s="2"/>
      <c r="Y456" s="2"/>
      <c r="Z456" s="2"/>
      <c r="AA456" s="2"/>
      <c r="AB456" s="2"/>
      <c r="AC456" s="2"/>
      <c r="AD456" s="2"/>
      <c r="AE456" s="2"/>
    </row>
    <row r="457" spans="20:31" ht="15.75">
      <c r="T457" s="2"/>
      <c r="U457" s="15" t="s">
        <v>856</v>
      </c>
      <c r="V457" s="227">
        <v>9300</v>
      </c>
      <c r="W457" s="2"/>
      <c r="X457" s="2"/>
      <c r="Y457" s="2"/>
      <c r="Z457" s="2"/>
      <c r="AA457" s="2"/>
      <c r="AB457" s="2"/>
      <c r="AC457" s="2"/>
      <c r="AD457" s="2"/>
      <c r="AE457" s="2"/>
    </row>
    <row r="458" spans="20:31" ht="16.5" thickBot="1">
      <c r="T458" s="2"/>
      <c r="U458" s="148" t="s">
        <v>857</v>
      </c>
      <c r="V458" s="229" t="s">
        <v>858</v>
      </c>
      <c r="W458" s="2"/>
      <c r="X458" s="2"/>
      <c r="Y458" s="2"/>
      <c r="Z458" s="2"/>
      <c r="AA458" s="2"/>
      <c r="AB458" s="2"/>
      <c r="AC458" s="2"/>
      <c r="AD458" s="2"/>
      <c r="AE458" s="2"/>
    </row>
    <row r="459" spans="20:31">
      <c r="T459" s="2"/>
      <c r="U459" s="893" t="s">
        <v>859</v>
      </c>
      <c r="V459" s="893"/>
      <c r="W459" s="893"/>
      <c r="X459" s="893"/>
      <c r="Y459" s="893"/>
      <c r="Z459" s="893"/>
      <c r="AA459" s="893"/>
      <c r="AB459" s="893"/>
      <c r="AC459" s="893"/>
      <c r="AD459" s="905"/>
      <c r="AE459" s="2"/>
    </row>
    <row r="460" spans="20:31">
      <c r="T460" s="2"/>
      <c r="U460" s="2"/>
      <c r="V460" s="2"/>
      <c r="W460" s="2"/>
      <c r="X460" s="2"/>
      <c r="Y460" s="2"/>
      <c r="Z460" s="2"/>
      <c r="AA460" s="2"/>
      <c r="AB460" s="2"/>
      <c r="AC460" s="2"/>
      <c r="AD460" s="2"/>
      <c r="AE460" s="2"/>
    </row>
    <row r="461" spans="20:31" ht="15.75">
      <c r="T461" s="218" t="s">
        <v>860</v>
      </c>
      <c r="U461" s="219" t="s">
        <v>861</v>
      </c>
      <c r="V461" s="220"/>
      <c r="W461" s="220"/>
      <c r="X461" s="220"/>
      <c r="Y461" s="220"/>
      <c r="Z461" s="220"/>
      <c r="AA461" s="220"/>
      <c r="AB461" s="220"/>
      <c r="AC461" s="220"/>
      <c r="AD461" s="221"/>
      <c r="AE461" s="2"/>
    </row>
    <row r="462" spans="20:31" ht="16.5" thickBot="1">
      <c r="T462" s="230"/>
      <c r="U462" s="231"/>
      <c r="V462" s="2"/>
      <c r="W462" s="2"/>
      <c r="X462" s="2"/>
      <c r="Y462" s="2"/>
      <c r="Z462" s="2"/>
      <c r="AA462" s="2"/>
      <c r="AB462" s="2"/>
      <c r="AC462" s="2"/>
      <c r="AD462" s="2"/>
      <c r="AE462" s="2"/>
    </row>
    <row r="463" spans="20:31" ht="26.25" thickBot="1">
      <c r="T463" s="2"/>
      <c r="U463" s="232" t="s">
        <v>862</v>
      </c>
      <c r="V463" s="233" t="s">
        <v>863</v>
      </c>
      <c r="W463" s="898" t="s">
        <v>864</v>
      </c>
      <c r="X463" s="899"/>
      <c r="Y463" s="899"/>
      <c r="Z463" s="900"/>
      <c r="AA463" s="2"/>
      <c r="AB463" s="2"/>
      <c r="AC463" s="2"/>
      <c r="AD463" s="2"/>
      <c r="AE463" s="2"/>
    </row>
    <row r="464" spans="20:31">
      <c r="T464" s="2"/>
      <c r="U464" s="162" t="s">
        <v>865</v>
      </c>
      <c r="V464" s="234">
        <v>16</v>
      </c>
      <c r="W464" s="901" t="s">
        <v>866</v>
      </c>
      <c r="X464" s="902"/>
      <c r="Y464" s="902"/>
      <c r="Z464" s="903"/>
      <c r="AA464" s="235"/>
      <c r="AB464" s="2"/>
      <c r="AC464" s="2"/>
      <c r="AD464" s="2"/>
      <c r="AE464" s="2"/>
    </row>
    <row r="465" spans="20:31">
      <c r="T465" s="2"/>
      <c r="U465" s="15" t="s">
        <v>867</v>
      </c>
      <c r="V465" s="236">
        <v>14</v>
      </c>
      <c r="W465" s="887" t="s">
        <v>868</v>
      </c>
      <c r="X465" s="888"/>
      <c r="Y465" s="888"/>
      <c r="Z465" s="889"/>
      <c r="AA465" s="235"/>
      <c r="AB465" s="2"/>
      <c r="AC465" s="2"/>
      <c r="AD465" s="2"/>
      <c r="AE465" s="2"/>
    </row>
    <row r="466" spans="20:31">
      <c r="T466" s="2"/>
      <c r="U466" s="15" t="s">
        <v>869</v>
      </c>
      <c r="V466" s="236">
        <v>19</v>
      </c>
      <c r="W466" s="887" t="s">
        <v>870</v>
      </c>
      <c r="X466" s="888"/>
      <c r="Y466" s="888"/>
      <c r="Z466" s="889"/>
      <c r="AA466" s="235"/>
      <c r="AB466" s="2"/>
      <c r="AC466" s="2"/>
      <c r="AD466" s="2"/>
      <c r="AE466" s="2"/>
    </row>
    <row r="467" spans="20:31">
      <c r="T467" s="2"/>
      <c r="U467" s="15" t="s">
        <v>871</v>
      </c>
      <c r="V467" s="236">
        <v>2100</v>
      </c>
      <c r="W467" s="887" t="s">
        <v>872</v>
      </c>
      <c r="X467" s="888"/>
      <c r="Y467" s="888"/>
      <c r="Z467" s="889"/>
      <c r="AA467" s="235"/>
      <c r="AB467" s="2"/>
      <c r="AC467" s="2"/>
      <c r="AD467" s="2"/>
      <c r="AE467" s="2"/>
    </row>
    <row r="468" spans="20:31">
      <c r="T468" s="2"/>
      <c r="U468" s="15" t="s">
        <v>873</v>
      </c>
      <c r="V468" s="236">
        <v>1330</v>
      </c>
      <c r="W468" s="887" t="s">
        <v>874</v>
      </c>
      <c r="X468" s="888"/>
      <c r="Y468" s="888"/>
      <c r="Z468" s="889"/>
      <c r="AA468" s="235"/>
      <c r="AB468" s="2"/>
      <c r="AC468" s="2"/>
      <c r="AD468" s="2"/>
      <c r="AE468" s="2"/>
    </row>
    <row r="469" spans="20:31">
      <c r="T469" s="2"/>
      <c r="U469" s="15" t="s">
        <v>875</v>
      </c>
      <c r="V469" s="236">
        <v>3444</v>
      </c>
      <c r="W469" s="887" t="s">
        <v>876</v>
      </c>
      <c r="X469" s="888"/>
      <c r="Y469" s="888"/>
      <c r="Z469" s="889"/>
      <c r="AA469" s="235"/>
      <c r="AB469" s="2"/>
      <c r="AC469" s="2"/>
      <c r="AD469" s="2"/>
      <c r="AE469" s="2"/>
    </row>
    <row r="470" spans="20:31">
      <c r="T470" s="2"/>
      <c r="U470" s="15" t="s">
        <v>877</v>
      </c>
      <c r="V470" s="236">
        <v>3922</v>
      </c>
      <c r="W470" s="887" t="s">
        <v>878</v>
      </c>
      <c r="X470" s="888"/>
      <c r="Y470" s="888"/>
      <c r="Z470" s="889"/>
      <c r="AA470" s="235"/>
      <c r="AB470" s="2"/>
      <c r="AC470" s="2"/>
      <c r="AD470" s="2"/>
      <c r="AE470" s="2"/>
    </row>
    <row r="471" spans="20:31">
      <c r="T471" s="2"/>
      <c r="U471" s="15" t="s">
        <v>879</v>
      </c>
      <c r="V471" s="236">
        <v>0</v>
      </c>
      <c r="W471" s="887" t="s">
        <v>880</v>
      </c>
      <c r="X471" s="888"/>
      <c r="Y471" s="888"/>
      <c r="Z471" s="889"/>
      <c r="AA471" s="235"/>
      <c r="AB471" s="2"/>
      <c r="AC471" s="2"/>
      <c r="AD471" s="2"/>
      <c r="AE471" s="2"/>
    </row>
    <row r="472" spans="20:31">
      <c r="T472" s="2"/>
      <c r="U472" s="15" t="s">
        <v>881</v>
      </c>
      <c r="V472" s="236">
        <v>2107</v>
      </c>
      <c r="W472" s="887" t="s">
        <v>882</v>
      </c>
      <c r="X472" s="888"/>
      <c r="Y472" s="888"/>
      <c r="Z472" s="889"/>
      <c r="AA472" s="235"/>
      <c r="AB472" s="2"/>
      <c r="AC472" s="2"/>
      <c r="AD472" s="2"/>
      <c r="AE472" s="2"/>
    </row>
    <row r="473" spans="20:31">
      <c r="T473" s="2"/>
      <c r="U473" s="15" t="s">
        <v>883</v>
      </c>
      <c r="V473" s="236">
        <v>2804</v>
      </c>
      <c r="W473" s="887" t="s">
        <v>884</v>
      </c>
      <c r="X473" s="888"/>
      <c r="Y473" s="888"/>
      <c r="Z473" s="889"/>
      <c r="AA473" s="235"/>
      <c r="AB473" s="2"/>
      <c r="AC473" s="2"/>
      <c r="AD473" s="2"/>
      <c r="AE473" s="2"/>
    </row>
    <row r="474" spans="20:31">
      <c r="T474" s="2"/>
      <c r="U474" s="15" t="s">
        <v>885</v>
      </c>
      <c r="V474" s="236">
        <v>1774</v>
      </c>
      <c r="W474" s="887" t="s">
        <v>886</v>
      </c>
      <c r="X474" s="888"/>
      <c r="Y474" s="888"/>
      <c r="Z474" s="889"/>
      <c r="AA474" s="235"/>
      <c r="AB474" s="2"/>
      <c r="AC474" s="2"/>
      <c r="AD474" s="2"/>
      <c r="AE474" s="2"/>
    </row>
    <row r="475" spans="20:31">
      <c r="T475" s="2"/>
      <c r="U475" s="15" t="s">
        <v>887</v>
      </c>
      <c r="V475" s="236">
        <v>1627</v>
      </c>
      <c r="W475" s="887" t="s">
        <v>888</v>
      </c>
      <c r="X475" s="888"/>
      <c r="Y475" s="888"/>
      <c r="Z475" s="889"/>
      <c r="AA475" s="235"/>
      <c r="AB475" s="2"/>
      <c r="AC475" s="2"/>
      <c r="AD475" s="2"/>
      <c r="AE475" s="2"/>
    </row>
    <row r="476" spans="20:31">
      <c r="T476" s="2"/>
      <c r="U476" s="15" t="s">
        <v>889</v>
      </c>
      <c r="V476" s="236">
        <v>1552</v>
      </c>
      <c r="W476" s="887" t="s">
        <v>890</v>
      </c>
      <c r="X476" s="888"/>
      <c r="Y476" s="888"/>
      <c r="Z476" s="889"/>
      <c r="AA476" s="235"/>
      <c r="AB476" s="2"/>
      <c r="AC476" s="2"/>
      <c r="AD476" s="2"/>
      <c r="AE476" s="2"/>
    </row>
    <row r="477" spans="20:31">
      <c r="T477" s="2"/>
      <c r="U477" s="15" t="s">
        <v>891</v>
      </c>
      <c r="V477" s="236">
        <v>2301</v>
      </c>
      <c r="W477" s="887" t="s">
        <v>892</v>
      </c>
      <c r="X477" s="888"/>
      <c r="Y477" s="888"/>
      <c r="Z477" s="889"/>
      <c r="AA477" s="235"/>
      <c r="AB477" s="2"/>
      <c r="AC477" s="2"/>
      <c r="AD477" s="2"/>
      <c r="AE477" s="2"/>
    </row>
    <row r="478" spans="20:31">
      <c r="T478" s="2"/>
      <c r="U478" s="15" t="s">
        <v>893</v>
      </c>
      <c r="V478" s="236">
        <v>0</v>
      </c>
      <c r="W478" s="887" t="s">
        <v>894</v>
      </c>
      <c r="X478" s="888"/>
      <c r="Y478" s="888"/>
      <c r="Z478" s="889"/>
      <c r="AA478" s="235"/>
      <c r="AB478" s="2"/>
      <c r="AC478" s="2"/>
      <c r="AD478" s="2"/>
      <c r="AE478" s="2"/>
    </row>
    <row r="479" spans="20:31">
      <c r="T479" s="2"/>
      <c r="U479" s="15" t="s">
        <v>895</v>
      </c>
      <c r="V479" s="236">
        <v>2088</v>
      </c>
      <c r="W479" s="887" t="s">
        <v>896</v>
      </c>
      <c r="X479" s="888"/>
      <c r="Y479" s="888"/>
      <c r="Z479" s="889"/>
      <c r="AA479" s="235"/>
      <c r="AB479" s="2"/>
      <c r="AC479" s="2"/>
      <c r="AD479" s="2"/>
      <c r="AE479" s="2"/>
    </row>
    <row r="480" spans="20:31">
      <c r="T480" s="2"/>
      <c r="U480" s="15" t="s">
        <v>897</v>
      </c>
      <c r="V480" s="236">
        <v>2229</v>
      </c>
      <c r="W480" s="887" t="s">
        <v>898</v>
      </c>
      <c r="X480" s="888"/>
      <c r="Y480" s="888"/>
      <c r="Z480" s="889"/>
      <c r="AA480" s="235"/>
      <c r="AB480" s="2"/>
      <c r="AC480" s="2"/>
      <c r="AD480" s="2"/>
      <c r="AE480" s="2"/>
    </row>
    <row r="481" spans="20:31">
      <c r="T481" s="2"/>
      <c r="U481" s="15" t="s">
        <v>899</v>
      </c>
      <c r="V481" s="236">
        <v>14</v>
      </c>
      <c r="W481" s="887" t="s">
        <v>900</v>
      </c>
      <c r="X481" s="888"/>
      <c r="Y481" s="888"/>
      <c r="Z481" s="889"/>
      <c r="AA481" s="235"/>
      <c r="AB481" s="2"/>
      <c r="AC481" s="2"/>
      <c r="AD481" s="2"/>
      <c r="AE481" s="2"/>
    </row>
    <row r="482" spans="20:31">
      <c r="T482" s="2"/>
      <c r="U482" s="15" t="s">
        <v>901</v>
      </c>
      <c r="V482" s="236">
        <v>4</v>
      </c>
      <c r="W482" s="887" t="s">
        <v>902</v>
      </c>
      <c r="X482" s="888"/>
      <c r="Y482" s="888"/>
      <c r="Z482" s="889"/>
      <c r="AA482" s="235"/>
      <c r="AB482" s="2"/>
      <c r="AC482" s="2"/>
      <c r="AD482" s="2"/>
      <c r="AE482" s="2"/>
    </row>
    <row r="483" spans="20:31">
      <c r="T483" s="2"/>
      <c r="U483" s="15" t="s">
        <v>903</v>
      </c>
      <c r="V483" s="236">
        <v>2053</v>
      </c>
      <c r="W483" s="887" t="s">
        <v>904</v>
      </c>
      <c r="X483" s="888"/>
      <c r="Y483" s="888"/>
      <c r="Z483" s="889"/>
      <c r="AA483" s="235"/>
      <c r="AB483" s="2"/>
      <c r="AC483" s="2"/>
      <c r="AD483" s="2"/>
      <c r="AE483" s="2"/>
    </row>
    <row r="484" spans="20:31">
      <c r="T484" s="2"/>
      <c r="U484" s="15" t="s">
        <v>905</v>
      </c>
      <c r="V484" s="236">
        <v>0</v>
      </c>
      <c r="W484" s="887" t="s">
        <v>906</v>
      </c>
      <c r="X484" s="888"/>
      <c r="Y484" s="888"/>
      <c r="Z484" s="889"/>
      <c r="AA484" s="235"/>
      <c r="AB484" s="2"/>
      <c r="AC484" s="2"/>
      <c r="AD484" s="2"/>
      <c r="AE484" s="2"/>
    </row>
    <row r="485" spans="20:31">
      <c r="T485" s="2"/>
      <c r="U485" s="15" t="s">
        <v>907</v>
      </c>
      <c r="V485" s="236">
        <v>0</v>
      </c>
      <c r="W485" s="887" t="s">
        <v>908</v>
      </c>
      <c r="X485" s="888"/>
      <c r="Y485" s="888"/>
      <c r="Z485" s="889"/>
      <c r="AA485" s="235"/>
      <c r="AB485" s="2"/>
      <c r="AC485" s="2"/>
      <c r="AD485" s="2"/>
      <c r="AE485" s="2"/>
    </row>
    <row r="486" spans="20:31">
      <c r="T486" s="2"/>
      <c r="U486" s="15" t="s">
        <v>909</v>
      </c>
      <c r="V486" s="236">
        <v>2346</v>
      </c>
      <c r="W486" s="887" t="s">
        <v>910</v>
      </c>
      <c r="X486" s="888"/>
      <c r="Y486" s="888"/>
      <c r="Z486" s="889"/>
      <c r="AA486" s="235"/>
      <c r="AB486" s="2"/>
      <c r="AC486" s="2"/>
      <c r="AD486" s="2"/>
      <c r="AE486" s="2"/>
    </row>
    <row r="487" spans="20:31">
      <c r="T487" s="2"/>
      <c r="U487" s="15" t="s">
        <v>911</v>
      </c>
      <c r="V487" s="236">
        <v>3143</v>
      </c>
      <c r="W487" s="887" t="s">
        <v>912</v>
      </c>
      <c r="X487" s="888"/>
      <c r="Y487" s="888"/>
      <c r="Z487" s="889"/>
      <c r="AA487" s="235"/>
      <c r="AB487" s="2"/>
      <c r="AC487" s="2"/>
      <c r="AD487" s="2"/>
      <c r="AE487" s="2"/>
    </row>
    <row r="488" spans="20:31">
      <c r="T488" s="2"/>
      <c r="U488" s="15" t="s">
        <v>913</v>
      </c>
      <c r="V488" s="236">
        <v>2729</v>
      </c>
      <c r="W488" s="887" t="s">
        <v>914</v>
      </c>
      <c r="X488" s="888"/>
      <c r="Y488" s="888"/>
      <c r="Z488" s="889"/>
      <c r="AA488" s="235"/>
      <c r="AB488" s="2"/>
      <c r="AC488" s="2"/>
      <c r="AD488" s="2"/>
      <c r="AE488" s="2"/>
    </row>
    <row r="489" spans="20:31">
      <c r="T489" s="2"/>
      <c r="U489" s="15" t="s">
        <v>915</v>
      </c>
      <c r="V489" s="236">
        <v>2280</v>
      </c>
      <c r="W489" s="887" t="s">
        <v>916</v>
      </c>
      <c r="X489" s="888"/>
      <c r="Y489" s="888"/>
      <c r="Z489" s="889"/>
      <c r="AA489" s="235"/>
      <c r="AB489" s="2"/>
      <c r="AC489" s="2"/>
      <c r="AD489" s="2"/>
      <c r="AE489" s="2"/>
    </row>
    <row r="490" spans="20:31">
      <c r="T490" s="2"/>
      <c r="U490" s="15" t="s">
        <v>917</v>
      </c>
      <c r="V490" s="236">
        <v>2440</v>
      </c>
      <c r="W490" s="895" t="s">
        <v>918</v>
      </c>
      <c r="X490" s="896"/>
      <c r="Y490" s="896"/>
      <c r="Z490" s="897"/>
      <c r="AA490" s="235"/>
      <c r="AB490" s="2"/>
      <c r="AC490" s="2"/>
      <c r="AD490" s="2"/>
      <c r="AE490" s="2"/>
    </row>
    <row r="491" spans="20:31">
      <c r="T491" s="2"/>
      <c r="U491" s="15" t="s">
        <v>919</v>
      </c>
      <c r="V491" s="236">
        <v>1508</v>
      </c>
      <c r="W491" s="895" t="s">
        <v>920</v>
      </c>
      <c r="X491" s="896"/>
      <c r="Y491" s="896"/>
      <c r="Z491" s="897"/>
      <c r="AA491" s="235"/>
      <c r="AB491" s="2"/>
      <c r="AC491" s="2"/>
      <c r="AD491" s="2"/>
      <c r="AE491" s="2"/>
    </row>
    <row r="492" spans="20:31">
      <c r="T492" s="2"/>
      <c r="U492" s="15" t="s">
        <v>921</v>
      </c>
      <c r="V492" s="236">
        <v>3607</v>
      </c>
      <c r="W492" s="887" t="s">
        <v>922</v>
      </c>
      <c r="X492" s="888"/>
      <c r="Y492" s="888"/>
      <c r="Z492" s="889"/>
      <c r="AA492" s="235"/>
      <c r="AB492" s="2"/>
      <c r="AC492" s="2"/>
      <c r="AD492" s="2"/>
      <c r="AE492" s="2"/>
    </row>
    <row r="493" spans="20:31">
      <c r="T493" s="2"/>
      <c r="U493" s="15" t="s">
        <v>923</v>
      </c>
      <c r="V493" s="237">
        <v>3245</v>
      </c>
      <c r="W493" s="895" t="s">
        <v>924</v>
      </c>
      <c r="X493" s="896"/>
      <c r="Y493" s="896"/>
      <c r="Z493" s="897"/>
      <c r="AA493" s="235"/>
      <c r="AB493" s="2"/>
      <c r="AC493" s="2"/>
      <c r="AD493" s="2"/>
      <c r="AE493" s="2"/>
    </row>
    <row r="494" spans="20:31">
      <c r="T494" s="2"/>
      <c r="U494" s="238" t="s">
        <v>925</v>
      </c>
      <c r="V494" s="236">
        <v>32</v>
      </c>
      <c r="W494" s="887" t="s">
        <v>926</v>
      </c>
      <c r="X494" s="888"/>
      <c r="Y494" s="888"/>
      <c r="Z494" s="889"/>
      <c r="AA494" s="235"/>
      <c r="AB494" s="2"/>
      <c r="AC494" s="2"/>
      <c r="AD494" s="2"/>
      <c r="AE494" s="2"/>
    </row>
    <row r="495" spans="20:31">
      <c r="T495" s="2"/>
      <c r="U495" s="238" t="s">
        <v>927</v>
      </c>
      <c r="V495" s="236">
        <v>0</v>
      </c>
      <c r="W495" s="887" t="s">
        <v>928</v>
      </c>
      <c r="X495" s="888"/>
      <c r="Y495" s="888"/>
      <c r="Z495" s="889"/>
      <c r="AA495" s="235"/>
      <c r="AB495" s="2"/>
      <c r="AC495" s="2"/>
      <c r="AD495" s="2"/>
      <c r="AE495" s="2"/>
    </row>
    <row r="496" spans="20:31">
      <c r="T496" s="2"/>
      <c r="U496" s="238" t="s">
        <v>929</v>
      </c>
      <c r="V496" s="236">
        <v>325</v>
      </c>
      <c r="W496" s="887" t="s">
        <v>930</v>
      </c>
      <c r="X496" s="888"/>
      <c r="Y496" s="888"/>
      <c r="Z496" s="889"/>
      <c r="AA496" s="235"/>
      <c r="AB496" s="2"/>
      <c r="AC496" s="2"/>
      <c r="AD496" s="2"/>
      <c r="AE496" s="2"/>
    </row>
    <row r="497" spans="3:31">
      <c r="T497" s="2"/>
      <c r="U497" s="238" t="s">
        <v>931</v>
      </c>
      <c r="V497" s="236">
        <v>3985</v>
      </c>
      <c r="W497" s="887" t="s">
        <v>932</v>
      </c>
      <c r="X497" s="888"/>
      <c r="Y497" s="888"/>
      <c r="Z497" s="889"/>
      <c r="AA497" s="235"/>
      <c r="AB497" s="2"/>
      <c r="AC497" s="2"/>
      <c r="AD497" s="2"/>
      <c r="AE497" s="2"/>
    </row>
    <row r="498" spans="3:31">
      <c r="T498" s="2"/>
      <c r="U498" s="15" t="s">
        <v>933</v>
      </c>
      <c r="V498" s="236">
        <v>13214</v>
      </c>
      <c r="W498" s="887" t="s">
        <v>934</v>
      </c>
      <c r="X498" s="888"/>
      <c r="Y498" s="888"/>
      <c r="Z498" s="889"/>
      <c r="AA498" s="235"/>
      <c r="AB498" s="2"/>
      <c r="AC498" s="2"/>
      <c r="AD498" s="2"/>
      <c r="AE498" s="2"/>
    </row>
    <row r="499" spans="3:31" ht="15.75" thickBot="1">
      <c r="T499" s="2"/>
      <c r="U499" s="148" t="s">
        <v>935</v>
      </c>
      <c r="V499" s="239">
        <v>13396</v>
      </c>
      <c r="W499" s="890" t="s">
        <v>936</v>
      </c>
      <c r="X499" s="891"/>
      <c r="Y499" s="891"/>
      <c r="Z499" s="892"/>
      <c r="AA499" s="235"/>
      <c r="AB499" s="2"/>
      <c r="AC499" s="2"/>
      <c r="AD499" s="2"/>
      <c r="AE499" s="2"/>
    </row>
    <row r="500" spans="3:31">
      <c r="T500" s="92"/>
      <c r="U500" s="893" t="s">
        <v>937</v>
      </c>
      <c r="V500" s="893"/>
      <c r="W500" s="893"/>
      <c r="X500" s="893"/>
      <c r="Y500" s="893"/>
      <c r="Z500" s="893"/>
      <c r="AA500" s="893"/>
      <c r="AB500" s="893"/>
      <c r="AC500" s="893"/>
      <c r="AD500" s="60"/>
      <c r="AE500" s="144"/>
    </row>
    <row r="510" spans="3:31" ht="18.75">
      <c r="C510" s="790" t="s">
        <v>1779</v>
      </c>
      <c r="D510" s="791" t="s">
        <v>1780</v>
      </c>
      <c r="E510" s="792"/>
      <c r="F510" s="792"/>
      <c r="G510" s="792"/>
      <c r="H510" s="793"/>
      <c r="I510" s="793"/>
      <c r="J510" s="793"/>
      <c r="K510" s="793"/>
      <c r="L510" s="793"/>
      <c r="M510" s="794"/>
    </row>
    <row r="511" spans="3:31" ht="15.75" thickBot="1">
      <c r="C511" s="1"/>
      <c r="D511" s="2"/>
      <c r="E511" s="2"/>
      <c r="F511" s="2"/>
      <c r="G511" s="2"/>
      <c r="H511" s="2"/>
      <c r="I511" s="2"/>
      <c r="J511" s="2"/>
      <c r="K511" s="2"/>
      <c r="L511" s="2"/>
      <c r="M511" s="2"/>
    </row>
    <row r="512" spans="3:31" ht="27.75" thickBot="1">
      <c r="C512" s="92"/>
      <c r="D512" s="91" t="s">
        <v>103</v>
      </c>
      <c r="E512" s="90" t="s">
        <v>1784</v>
      </c>
      <c r="F512" s="89" t="s">
        <v>194</v>
      </c>
      <c r="G512" s="88"/>
      <c r="H512" s="63"/>
      <c r="I512" s="63"/>
      <c r="J512" s="64"/>
      <c r="K512" s="64"/>
      <c r="L512" s="92"/>
      <c r="M512" s="92"/>
    </row>
    <row r="513" spans="3:13">
      <c r="C513" s="1"/>
      <c r="D513" s="65" t="s">
        <v>149</v>
      </c>
      <c r="E513" s="66">
        <v>8.31</v>
      </c>
      <c r="F513" s="67" t="s">
        <v>195</v>
      </c>
      <c r="G513" s="88"/>
      <c r="H513" s="63"/>
      <c r="I513" s="63"/>
      <c r="J513" s="64"/>
      <c r="K513" s="68"/>
      <c r="L513" s="2"/>
      <c r="M513" s="2"/>
    </row>
    <row r="514" spans="3:13">
      <c r="C514" s="1"/>
      <c r="D514" s="69" t="s">
        <v>180</v>
      </c>
      <c r="E514" s="797">
        <v>9.4499999999999993</v>
      </c>
      <c r="F514" s="70" t="s">
        <v>195</v>
      </c>
      <c r="G514" s="63"/>
      <c r="H514" s="63"/>
      <c r="I514" s="63"/>
      <c r="J514" s="64"/>
      <c r="K514" s="68"/>
      <c r="L514" s="2"/>
      <c r="M514" s="2"/>
    </row>
    <row r="515" spans="3:13">
      <c r="C515" s="1"/>
      <c r="D515" s="69" t="s">
        <v>196</v>
      </c>
      <c r="E515" s="801">
        <v>5.4440000000000002E-2</v>
      </c>
      <c r="F515" s="70" t="s">
        <v>197</v>
      </c>
      <c r="G515" s="63"/>
      <c r="H515" s="63"/>
      <c r="I515" s="63"/>
      <c r="J515" s="64"/>
      <c r="K515" s="68"/>
      <c r="L515" s="2"/>
      <c r="M515" s="2"/>
    </row>
    <row r="516" spans="3:13">
      <c r="C516" s="71"/>
      <c r="D516" s="69" t="s">
        <v>198</v>
      </c>
      <c r="E516" s="797">
        <v>10.210000000000001</v>
      </c>
      <c r="F516" s="72" t="s">
        <v>195</v>
      </c>
      <c r="G516" s="63"/>
      <c r="H516" s="63"/>
      <c r="I516" s="63"/>
      <c r="J516" s="64"/>
      <c r="K516" s="68"/>
      <c r="L516" s="2"/>
      <c r="M516" s="2"/>
    </row>
    <row r="517" spans="3:13">
      <c r="C517" s="1"/>
      <c r="D517" s="69" t="s">
        <v>181</v>
      </c>
      <c r="E517" s="797">
        <v>5.75</v>
      </c>
      <c r="F517" s="70" t="s">
        <v>195</v>
      </c>
      <c r="G517" s="63"/>
      <c r="H517" s="63"/>
      <c r="I517" s="63"/>
      <c r="J517" s="64"/>
      <c r="K517" s="68"/>
      <c r="L517" s="2"/>
      <c r="M517" s="2"/>
    </row>
    <row r="518" spans="3:13">
      <c r="C518" s="1"/>
      <c r="D518" s="69" t="s">
        <v>162</v>
      </c>
      <c r="E518" s="797">
        <v>9.75</v>
      </c>
      <c r="F518" s="72" t="s">
        <v>195</v>
      </c>
      <c r="G518" s="63"/>
      <c r="H518" s="63"/>
      <c r="I518" s="63"/>
      <c r="J518" s="64"/>
      <c r="K518" s="68"/>
      <c r="L518" s="2"/>
      <c r="M518" s="2"/>
    </row>
    <row r="519" spans="3:13">
      <c r="C519" s="1"/>
      <c r="D519" s="69" t="s">
        <v>199</v>
      </c>
      <c r="E519" s="802">
        <v>4.5</v>
      </c>
      <c r="F519" s="70" t="s">
        <v>195</v>
      </c>
      <c r="G519" s="2"/>
      <c r="H519" s="63"/>
      <c r="I519" s="63"/>
      <c r="J519" s="64"/>
      <c r="K519" s="68"/>
      <c r="L519" s="2"/>
      <c r="M519" s="2"/>
    </row>
    <row r="520" spans="3:13">
      <c r="C520" s="1"/>
      <c r="D520" s="69" t="s">
        <v>163</v>
      </c>
      <c r="E520" s="797">
        <v>5.68</v>
      </c>
      <c r="F520" s="72" t="s">
        <v>195</v>
      </c>
      <c r="G520" s="63"/>
      <c r="H520" s="73"/>
      <c r="I520" s="63"/>
      <c r="J520" s="64"/>
      <c r="K520" s="68"/>
      <c r="L520" s="2"/>
      <c r="M520" s="2"/>
    </row>
    <row r="521" spans="3:13">
      <c r="C521" s="1"/>
      <c r="D521" s="69" t="s">
        <v>165</v>
      </c>
      <c r="E521" s="797">
        <v>8.7799999999999994</v>
      </c>
      <c r="F521" s="72" t="s">
        <v>195</v>
      </c>
      <c r="G521" s="63"/>
      <c r="H521" s="63"/>
      <c r="I521" s="63"/>
      <c r="J521" s="64"/>
      <c r="K521" s="68"/>
      <c r="L521" s="2"/>
      <c r="M521" s="2"/>
    </row>
    <row r="522" spans="3:13" ht="15.75" thickBot="1">
      <c r="C522" s="1"/>
      <c r="D522" s="100" t="s">
        <v>200</v>
      </c>
      <c r="E522" s="101">
        <v>11.27</v>
      </c>
      <c r="F522" s="102" t="s">
        <v>195</v>
      </c>
      <c r="G522" s="63"/>
      <c r="H522" s="63"/>
      <c r="I522" s="63"/>
      <c r="J522" s="64"/>
      <c r="K522" s="64"/>
      <c r="L522" s="2"/>
      <c r="M522" s="2"/>
    </row>
    <row r="523" spans="3:13">
      <c r="C523" s="92"/>
      <c r="D523" s="59" t="s">
        <v>190</v>
      </c>
      <c r="E523" s="60"/>
      <c r="F523" s="60"/>
      <c r="G523" s="103"/>
      <c r="H523" s="103"/>
      <c r="I523" s="103"/>
      <c r="J523" s="103"/>
      <c r="K523" s="103"/>
      <c r="L523" s="60"/>
      <c r="M523" s="60"/>
    </row>
    <row r="524" spans="3:13">
      <c r="C524" s="1"/>
      <c r="D524" s="1012" t="s">
        <v>201</v>
      </c>
      <c r="E524" s="1012"/>
      <c r="F524" s="1012"/>
      <c r="G524" s="1012"/>
      <c r="H524" s="1012"/>
      <c r="I524" s="1012"/>
      <c r="J524" s="1012"/>
      <c r="K524" s="1012"/>
      <c r="L524" s="1012"/>
      <c r="M524" s="2"/>
    </row>
    <row r="525" spans="3:13">
      <c r="C525" s="1"/>
      <c r="D525" s="62" t="s">
        <v>202</v>
      </c>
      <c r="E525" s="104"/>
      <c r="F525" s="104"/>
      <c r="G525" s="104"/>
      <c r="H525" s="104"/>
      <c r="I525" s="105"/>
      <c r="J525" s="105"/>
      <c r="K525" s="2"/>
      <c r="L525" s="2"/>
      <c r="M525" s="106"/>
    </row>
    <row r="526" spans="3:13">
      <c r="C526" s="1"/>
      <c r="D526" s="1032" t="s">
        <v>1791</v>
      </c>
      <c r="E526" s="1032"/>
      <c r="F526" s="1032"/>
      <c r="G526" s="1032"/>
      <c r="H526" s="1032"/>
      <c r="I526" s="1032"/>
      <c r="J526" s="1032"/>
      <c r="K526" s="1032"/>
      <c r="L526" s="1032"/>
      <c r="M526" s="106"/>
    </row>
    <row r="527" spans="3:13">
      <c r="C527" s="1"/>
      <c r="D527" s="107"/>
      <c r="E527" s="2"/>
      <c r="F527" s="2"/>
      <c r="G527" s="2"/>
      <c r="H527" s="2"/>
      <c r="I527" s="2"/>
      <c r="J527" s="2"/>
      <c r="K527" s="2"/>
      <c r="L527" s="2"/>
      <c r="M527" s="2"/>
    </row>
    <row r="528" spans="3:13" ht="18.75">
      <c r="C528" s="218" t="s">
        <v>1792</v>
      </c>
      <c r="D528" s="803" t="s">
        <v>1793</v>
      </c>
      <c r="E528" s="804"/>
      <c r="F528" s="220"/>
      <c r="G528" s="220"/>
      <c r="H528" s="220"/>
      <c r="I528" s="220"/>
      <c r="J528" s="220"/>
      <c r="K528" s="220"/>
      <c r="L528" s="220"/>
      <c r="M528" s="221"/>
    </row>
    <row r="529" spans="3:13" ht="15.75" thickBot="1">
      <c r="C529" s="2"/>
      <c r="D529" s="2"/>
      <c r="E529" s="2"/>
      <c r="F529" s="2"/>
      <c r="G529" s="2"/>
      <c r="H529" s="2"/>
      <c r="I529" s="2"/>
      <c r="J529" s="2"/>
      <c r="K529" s="2"/>
      <c r="L529" s="2"/>
      <c r="M529" s="2"/>
    </row>
    <row r="530" spans="3:13" ht="40.5" thickBot="1">
      <c r="C530" s="2"/>
      <c r="D530" s="108" t="s">
        <v>205</v>
      </c>
      <c r="E530" s="109" t="s">
        <v>206</v>
      </c>
      <c r="F530" s="110" t="s">
        <v>1794</v>
      </c>
      <c r="G530" s="111" t="s">
        <v>1795</v>
      </c>
      <c r="H530" s="112"/>
      <c r="I530" s="2"/>
      <c r="J530" s="2"/>
      <c r="K530" s="2"/>
      <c r="L530" s="2"/>
      <c r="M530" s="2"/>
    </row>
    <row r="531" spans="3:13">
      <c r="C531" s="2"/>
      <c r="D531" s="113" t="s">
        <v>209</v>
      </c>
      <c r="E531" s="114" t="s">
        <v>210</v>
      </c>
      <c r="F531" s="115">
        <v>0.1696</v>
      </c>
      <c r="G531" s="116">
        <v>1.9699999999999999E-2</v>
      </c>
      <c r="H531" s="112"/>
      <c r="I531" s="112"/>
      <c r="J531" s="2"/>
      <c r="K531" s="2"/>
      <c r="L531" s="2"/>
      <c r="M531" s="2"/>
    </row>
    <row r="532" spans="3:13">
      <c r="C532" s="2"/>
      <c r="D532" s="117"/>
      <c r="E532" s="118">
        <v>1975</v>
      </c>
      <c r="F532" s="119">
        <v>0.14230000000000001</v>
      </c>
      <c r="G532" s="120">
        <v>4.4299999999999999E-2</v>
      </c>
      <c r="H532" s="112"/>
      <c r="I532" s="112"/>
      <c r="J532" s="2"/>
      <c r="K532" s="2"/>
      <c r="L532" s="2"/>
      <c r="M532" s="2"/>
    </row>
    <row r="533" spans="3:13">
      <c r="C533" s="2"/>
      <c r="D533" s="117"/>
      <c r="E533" s="118" t="s">
        <v>211</v>
      </c>
      <c r="F533" s="119">
        <v>0.1406</v>
      </c>
      <c r="G533" s="120">
        <v>4.58E-2</v>
      </c>
      <c r="H533" s="112"/>
      <c r="I533" s="112"/>
      <c r="J533" s="2"/>
      <c r="K533" s="2"/>
      <c r="L533" s="2"/>
      <c r="M533" s="2"/>
    </row>
    <row r="534" spans="3:13">
      <c r="C534" s="2"/>
      <c r="D534" s="117"/>
      <c r="E534" s="118" t="s">
        <v>212</v>
      </c>
      <c r="F534" s="119">
        <v>0.1389</v>
      </c>
      <c r="G534" s="120">
        <v>4.7300000000000002E-2</v>
      </c>
      <c r="H534" s="112"/>
      <c r="I534" s="112"/>
      <c r="J534" s="2"/>
      <c r="K534" s="2"/>
      <c r="L534" s="2"/>
      <c r="M534" s="2"/>
    </row>
    <row r="535" spans="3:13">
      <c r="C535" s="2"/>
      <c r="D535" s="117"/>
      <c r="E535" s="118">
        <v>1980</v>
      </c>
      <c r="F535" s="119">
        <v>0.1326</v>
      </c>
      <c r="G535" s="120">
        <v>4.99E-2</v>
      </c>
      <c r="H535" s="112"/>
      <c r="I535" s="112"/>
      <c r="J535" s="2"/>
      <c r="K535" s="2"/>
      <c r="L535" s="2"/>
      <c r="M535" s="2"/>
    </row>
    <row r="536" spans="3:13">
      <c r="C536" s="2"/>
      <c r="D536" s="117"/>
      <c r="E536" s="118">
        <v>1981</v>
      </c>
      <c r="F536" s="119">
        <v>8.0199999999999994E-2</v>
      </c>
      <c r="G536" s="120">
        <v>6.2600000000000003E-2</v>
      </c>
      <c r="H536" s="112"/>
      <c r="I536" s="112"/>
      <c r="J536" s="2"/>
      <c r="K536" s="2"/>
      <c r="L536" s="2"/>
      <c r="M536" s="2"/>
    </row>
    <row r="537" spans="3:13">
      <c r="C537" s="2"/>
      <c r="D537" s="117"/>
      <c r="E537" s="118">
        <v>1982</v>
      </c>
      <c r="F537" s="119">
        <v>7.9500000000000001E-2</v>
      </c>
      <c r="G537" s="120">
        <v>6.2700000000000006E-2</v>
      </c>
      <c r="H537" s="112"/>
      <c r="I537" s="112"/>
      <c r="J537" s="2"/>
      <c r="K537" s="2"/>
      <c r="L537" s="2"/>
      <c r="M537" s="2"/>
    </row>
    <row r="538" spans="3:13">
      <c r="C538" s="2"/>
      <c r="D538" s="117"/>
      <c r="E538" s="118">
        <v>1983</v>
      </c>
      <c r="F538" s="119">
        <v>7.8200000000000006E-2</v>
      </c>
      <c r="G538" s="120">
        <v>6.3E-2</v>
      </c>
      <c r="H538" s="112"/>
      <c r="I538" s="112"/>
      <c r="J538" s="2"/>
      <c r="K538" s="2"/>
      <c r="L538" s="2"/>
      <c r="M538" s="2"/>
    </row>
    <row r="539" spans="3:13">
      <c r="C539" s="2"/>
      <c r="D539" s="117"/>
      <c r="E539" s="118" t="s">
        <v>213</v>
      </c>
      <c r="F539" s="119">
        <v>7.0400000000000004E-2</v>
      </c>
      <c r="G539" s="120">
        <v>6.4699999999999994E-2</v>
      </c>
      <c r="H539" s="112"/>
      <c r="I539" s="112"/>
      <c r="J539" s="2"/>
      <c r="K539" s="2"/>
      <c r="L539" s="2"/>
      <c r="M539" s="2"/>
    </row>
    <row r="540" spans="3:13">
      <c r="C540" s="2"/>
      <c r="D540" s="117"/>
      <c r="E540" s="813">
        <v>1994</v>
      </c>
      <c r="F540" s="814">
        <v>5.3100000000000001E-2</v>
      </c>
      <c r="G540" s="121">
        <v>5.6000000000000001E-2</v>
      </c>
      <c r="H540" s="112"/>
      <c r="I540" s="112"/>
      <c r="J540" s="2"/>
      <c r="K540" s="2"/>
      <c r="L540" s="2"/>
      <c r="M540" s="2"/>
    </row>
    <row r="541" spans="3:13">
      <c r="C541" s="2"/>
      <c r="D541" s="117"/>
      <c r="E541" s="813">
        <v>1995</v>
      </c>
      <c r="F541" s="814">
        <v>3.5799999999999998E-2</v>
      </c>
      <c r="G541" s="121">
        <v>4.7300000000000002E-2</v>
      </c>
      <c r="H541" s="112"/>
      <c r="I541" s="112"/>
      <c r="J541" s="2"/>
      <c r="K541" s="2"/>
      <c r="L541" s="2"/>
      <c r="M541" s="2"/>
    </row>
    <row r="542" spans="3:13">
      <c r="C542" s="2"/>
      <c r="D542" s="117"/>
      <c r="E542" s="813">
        <v>1996</v>
      </c>
      <c r="F542" s="814">
        <v>2.7199999999999998E-2</v>
      </c>
      <c r="G542" s="121">
        <v>4.2599999999999999E-2</v>
      </c>
      <c r="H542" s="112"/>
      <c r="I542" s="112"/>
      <c r="J542" s="2"/>
      <c r="K542" s="2"/>
      <c r="L542" s="2"/>
      <c r="M542" s="2"/>
    </row>
    <row r="543" spans="3:13">
      <c r="C543" s="2"/>
      <c r="D543" s="117"/>
      <c r="E543" s="813">
        <v>1997</v>
      </c>
      <c r="F543" s="814">
        <v>2.6800000000000001E-2</v>
      </c>
      <c r="G543" s="121">
        <v>4.2200000000000001E-2</v>
      </c>
      <c r="H543" s="112"/>
      <c r="I543" s="112"/>
      <c r="J543" s="2"/>
      <c r="K543" s="2"/>
      <c r="L543" s="2"/>
      <c r="M543" s="2"/>
    </row>
    <row r="544" spans="3:13">
      <c r="C544" s="2"/>
      <c r="D544" s="117"/>
      <c r="E544" s="813">
        <v>1998</v>
      </c>
      <c r="F544" s="819">
        <v>2.41E-2</v>
      </c>
      <c r="G544" s="122">
        <v>3.7900000000000003E-2</v>
      </c>
      <c r="H544" s="112"/>
      <c r="I544" s="112"/>
      <c r="J544" s="2"/>
      <c r="K544" s="2"/>
      <c r="L544" s="2"/>
      <c r="M544" s="2"/>
    </row>
    <row r="545" spans="3:13">
      <c r="C545" s="2"/>
      <c r="D545" s="117"/>
      <c r="E545" s="813">
        <v>1999</v>
      </c>
      <c r="F545" s="819">
        <v>2.1600000000000001E-2</v>
      </c>
      <c r="G545" s="122">
        <v>3.3700000000000001E-2</v>
      </c>
      <c r="H545" s="112"/>
      <c r="I545" s="112"/>
      <c r="J545" s="2"/>
      <c r="K545" s="2"/>
      <c r="L545" s="2"/>
      <c r="M545" s="2"/>
    </row>
    <row r="546" spans="3:13">
      <c r="C546" s="2"/>
      <c r="D546" s="117"/>
      <c r="E546" s="813">
        <v>2000</v>
      </c>
      <c r="F546" s="819">
        <v>1.78E-2</v>
      </c>
      <c r="G546" s="122">
        <v>2.7300000000000001E-2</v>
      </c>
      <c r="H546" s="112"/>
      <c r="I546" s="112"/>
      <c r="J546" s="2"/>
      <c r="K546" s="2"/>
      <c r="L546" s="2"/>
      <c r="M546" s="2"/>
    </row>
    <row r="547" spans="3:13">
      <c r="C547" s="2"/>
      <c r="D547" s="117"/>
      <c r="E547" s="813">
        <v>2001</v>
      </c>
      <c r="F547" s="819">
        <v>1.0999999999999999E-2</v>
      </c>
      <c r="G547" s="122">
        <v>1.5800000000000002E-2</v>
      </c>
      <c r="H547" s="112"/>
      <c r="I547" s="112"/>
      <c r="J547" s="2"/>
      <c r="K547" s="2"/>
      <c r="L547" s="2"/>
      <c r="M547" s="2"/>
    </row>
    <row r="548" spans="3:13">
      <c r="C548" s="2"/>
      <c r="D548" s="117"/>
      <c r="E548" s="813">
        <v>2002</v>
      </c>
      <c r="F548" s="819">
        <v>1.0699999999999999E-2</v>
      </c>
      <c r="G548" s="122">
        <v>1.5299999999999999E-2</v>
      </c>
      <c r="H548" s="112"/>
      <c r="I548" s="112"/>
      <c r="J548" s="2"/>
      <c r="K548" s="2"/>
      <c r="L548" s="2"/>
      <c r="M548" s="2"/>
    </row>
    <row r="549" spans="3:13">
      <c r="C549" s="2"/>
      <c r="D549" s="117"/>
      <c r="E549" s="813">
        <v>2003</v>
      </c>
      <c r="F549" s="819">
        <v>1.15E-2</v>
      </c>
      <c r="G549" s="122">
        <v>1.3299999999999999E-2</v>
      </c>
      <c r="H549" s="112"/>
      <c r="I549" s="112"/>
      <c r="J549" s="2"/>
      <c r="K549" s="2"/>
      <c r="L549" s="2"/>
      <c r="M549" s="2"/>
    </row>
    <row r="550" spans="3:13">
      <c r="C550" s="2"/>
      <c r="D550" s="117"/>
      <c r="E550" s="813">
        <v>2004</v>
      </c>
      <c r="F550" s="819">
        <v>1.5699999999999999E-2</v>
      </c>
      <c r="G550" s="122">
        <v>6.3E-3</v>
      </c>
      <c r="H550" s="112"/>
      <c r="I550" s="112"/>
      <c r="J550" s="2"/>
      <c r="K550" s="2"/>
      <c r="L550" s="2"/>
      <c r="M550" s="2"/>
    </row>
    <row r="551" spans="3:13">
      <c r="C551" s="2"/>
      <c r="D551" s="117"/>
      <c r="E551" s="813">
        <v>2005</v>
      </c>
      <c r="F551" s="819">
        <v>1.6400000000000001E-2</v>
      </c>
      <c r="G551" s="122">
        <v>5.1000000000000004E-3</v>
      </c>
      <c r="H551" s="112"/>
      <c r="I551" s="112"/>
      <c r="J551" s="2"/>
      <c r="K551" s="2"/>
      <c r="L551" s="2"/>
      <c r="M551" s="2"/>
    </row>
    <row r="552" spans="3:13">
      <c r="C552" s="2"/>
      <c r="D552" s="117"/>
      <c r="E552" s="813">
        <v>2006</v>
      </c>
      <c r="F552" s="814">
        <v>1.61E-2</v>
      </c>
      <c r="G552" s="121">
        <v>5.7000000000000002E-3</v>
      </c>
      <c r="H552" s="112"/>
      <c r="I552" s="112"/>
      <c r="J552" s="2"/>
      <c r="K552" s="2"/>
      <c r="L552" s="2"/>
      <c r="M552" s="2"/>
    </row>
    <row r="553" spans="3:13">
      <c r="C553" s="2"/>
      <c r="D553" s="117"/>
      <c r="E553" s="813">
        <v>2007</v>
      </c>
      <c r="F553" s="814">
        <v>1.7000000000000001E-2</v>
      </c>
      <c r="G553" s="121">
        <v>4.1000000000000003E-3</v>
      </c>
      <c r="H553" s="112"/>
      <c r="I553" s="112"/>
      <c r="J553" s="2"/>
      <c r="K553" s="2"/>
      <c r="L553" s="2"/>
      <c r="M553" s="2"/>
    </row>
    <row r="554" spans="3:13">
      <c r="C554" s="2"/>
      <c r="D554" s="117"/>
      <c r="E554" s="813">
        <v>2008</v>
      </c>
      <c r="F554" s="814">
        <v>1.72E-2</v>
      </c>
      <c r="G554" s="121">
        <v>3.8E-3</v>
      </c>
      <c r="H554" s="112"/>
      <c r="I554" s="112"/>
      <c r="J554" s="2"/>
      <c r="K554" s="2"/>
      <c r="L554" s="2"/>
      <c r="M554" s="2"/>
    </row>
    <row r="555" spans="3:13" ht="15.75" thickBot="1">
      <c r="C555" s="2"/>
      <c r="D555" s="123"/>
      <c r="E555" s="124" t="s">
        <v>214</v>
      </c>
      <c r="F555" s="125">
        <v>1.7299999999999999E-2</v>
      </c>
      <c r="G555" s="126">
        <v>3.5999999999999999E-3</v>
      </c>
      <c r="H555" s="112"/>
      <c r="I555" s="112"/>
      <c r="J555" s="2"/>
      <c r="K555" s="2"/>
      <c r="L555" s="2"/>
      <c r="M555" s="2"/>
    </row>
    <row r="556" spans="3:13">
      <c r="C556" s="2"/>
      <c r="D556" s="113" t="s">
        <v>215</v>
      </c>
      <c r="E556" s="114" t="s">
        <v>210</v>
      </c>
      <c r="F556" s="115">
        <v>0.1908</v>
      </c>
      <c r="G556" s="116">
        <v>2.18E-2</v>
      </c>
      <c r="H556" s="112"/>
      <c r="I556" s="112"/>
      <c r="J556" s="2"/>
      <c r="K556" s="2"/>
      <c r="L556" s="2"/>
      <c r="M556" s="2"/>
    </row>
    <row r="557" spans="3:13">
      <c r="C557" s="2"/>
      <c r="D557" s="117" t="s">
        <v>216</v>
      </c>
      <c r="E557" s="813">
        <v>1975</v>
      </c>
      <c r="F557" s="814">
        <v>0.16339999999999999</v>
      </c>
      <c r="G557" s="121">
        <v>5.1299999999999998E-2</v>
      </c>
      <c r="H557" s="112"/>
      <c r="I557" s="112"/>
      <c r="J557" s="2"/>
      <c r="K557" s="2"/>
      <c r="L557" s="2"/>
      <c r="M557" s="2"/>
    </row>
    <row r="558" spans="3:13">
      <c r="C558" s="2"/>
      <c r="D558" s="117"/>
      <c r="E558" s="813">
        <v>1976</v>
      </c>
      <c r="F558" s="814">
        <v>0.15939999999999999</v>
      </c>
      <c r="G558" s="121">
        <v>5.5500000000000001E-2</v>
      </c>
      <c r="H558" s="112"/>
      <c r="I558" s="112"/>
      <c r="J558" s="2"/>
      <c r="K558" s="2"/>
      <c r="L558" s="2"/>
      <c r="M558" s="2"/>
    </row>
    <row r="559" spans="3:13">
      <c r="C559" s="2"/>
      <c r="D559" s="117"/>
      <c r="E559" s="813" t="s">
        <v>217</v>
      </c>
      <c r="F559" s="814">
        <v>0.16139999999999999</v>
      </c>
      <c r="G559" s="121">
        <v>5.3400000000000003E-2</v>
      </c>
      <c r="H559" s="112"/>
      <c r="I559" s="112"/>
      <c r="J559" s="2"/>
      <c r="K559" s="2"/>
      <c r="L559" s="2"/>
      <c r="M559" s="2"/>
    </row>
    <row r="560" spans="3:13">
      <c r="C560" s="2"/>
      <c r="D560" s="117"/>
      <c r="E560" s="813" t="s">
        <v>218</v>
      </c>
      <c r="F560" s="814">
        <v>0.15939999999999999</v>
      </c>
      <c r="G560" s="121">
        <v>5.5500000000000001E-2</v>
      </c>
      <c r="H560" s="112"/>
      <c r="I560" s="112"/>
      <c r="J560" s="2"/>
      <c r="K560" s="2"/>
      <c r="L560" s="2"/>
      <c r="M560" s="2"/>
    </row>
    <row r="561" spans="3:13">
      <c r="C561" s="2"/>
      <c r="D561" s="117"/>
      <c r="E561" s="813">
        <v>1981</v>
      </c>
      <c r="F561" s="814">
        <v>0.1479</v>
      </c>
      <c r="G561" s="121">
        <v>6.6000000000000003E-2</v>
      </c>
      <c r="H561" s="112"/>
      <c r="I561" s="112"/>
      <c r="J561" s="2"/>
      <c r="K561" s="2"/>
      <c r="L561" s="2"/>
      <c r="M561" s="2"/>
    </row>
    <row r="562" spans="3:13">
      <c r="C562" s="2"/>
      <c r="D562" s="117"/>
      <c r="E562" s="813">
        <v>1982</v>
      </c>
      <c r="F562" s="814">
        <v>0.14419999999999999</v>
      </c>
      <c r="G562" s="121">
        <v>6.8099999999999994E-2</v>
      </c>
      <c r="H562" s="112"/>
      <c r="I562" s="112"/>
      <c r="J562" s="2"/>
      <c r="K562" s="2"/>
      <c r="L562" s="2"/>
      <c r="M562" s="2"/>
    </row>
    <row r="563" spans="3:13">
      <c r="C563" s="2"/>
      <c r="D563" s="117"/>
      <c r="E563" s="813">
        <v>1983</v>
      </c>
      <c r="F563" s="814">
        <v>0.1368</v>
      </c>
      <c r="G563" s="121">
        <v>7.22E-2</v>
      </c>
      <c r="H563" s="112"/>
      <c r="I563" s="112"/>
      <c r="J563" s="2"/>
      <c r="K563" s="2"/>
      <c r="L563" s="2"/>
      <c r="M563" s="2"/>
    </row>
    <row r="564" spans="3:13">
      <c r="C564" s="2"/>
      <c r="D564" s="117"/>
      <c r="E564" s="813">
        <v>1984</v>
      </c>
      <c r="F564" s="814">
        <v>0.12939999999999999</v>
      </c>
      <c r="G564" s="121">
        <v>7.6399999999999996E-2</v>
      </c>
      <c r="H564" s="112"/>
      <c r="I564" s="112"/>
      <c r="J564" s="2"/>
      <c r="K564" s="2"/>
      <c r="L564" s="2"/>
      <c r="M564" s="2"/>
    </row>
    <row r="565" spans="3:13">
      <c r="C565" s="2"/>
      <c r="D565" s="117"/>
      <c r="E565" s="813">
        <v>1985</v>
      </c>
      <c r="F565" s="814">
        <v>0.122</v>
      </c>
      <c r="G565" s="121">
        <v>8.0600000000000005E-2</v>
      </c>
      <c r="H565" s="112"/>
      <c r="I565" s="112"/>
      <c r="J565" s="2"/>
      <c r="K565" s="2"/>
      <c r="L565" s="2"/>
      <c r="M565" s="2"/>
    </row>
    <row r="566" spans="3:13">
      <c r="C566" s="2"/>
      <c r="D566" s="117"/>
      <c r="E566" s="813">
        <v>1986</v>
      </c>
      <c r="F566" s="814">
        <v>0.11459999999999999</v>
      </c>
      <c r="G566" s="121">
        <v>8.48E-2</v>
      </c>
      <c r="H566" s="112"/>
      <c r="I566" s="112"/>
      <c r="J566" s="2"/>
      <c r="K566" s="2"/>
      <c r="L566" s="2"/>
      <c r="M566" s="2"/>
    </row>
    <row r="567" spans="3:13">
      <c r="C567" s="2"/>
      <c r="D567" s="117"/>
      <c r="E567" s="813" t="s">
        <v>219</v>
      </c>
      <c r="F567" s="814">
        <v>8.1299999999999997E-2</v>
      </c>
      <c r="G567" s="121">
        <v>0.10349999999999999</v>
      </c>
      <c r="H567" s="112"/>
      <c r="I567" s="112"/>
      <c r="J567" s="2"/>
      <c r="K567" s="2"/>
      <c r="L567" s="2"/>
      <c r="M567" s="2"/>
    </row>
    <row r="568" spans="3:13">
      <c r="C568" s="2"/>
      <c r="D568" s="117"/>
      <c r="E568" s="813">
        <v>1994</v>
      </c>
      <c r="F568" s="814">
        <v>6.4600000000000005E-2</v>
      </c>
      <c r="G568" s="121">
        <v>9.8199999999999996E-2</v>
      </c>
      <c r="H568" s="112"/>
      <c r="I568" s="112"/>
      <c r="J568" s="2"/>
      <c r="K568" s="2"/>
      <c r="L568" s="2"/>
      <c r="M568" s="2"/>
    </row>
    <row r="569" spans="3:13">
      <c r="C569" s="2"/>
      <c r="D569" s="117"/>
      <c r="E569" s="813">
        <v>1995</v>
      </c>
      <c r="F569" s="814">
        <v>5.1700000000000003E-2</v>
      </c>
      <c r="G569" s="121">
        <v>9.0800000000000006E-2</v>
      </c>
      <c r="H569" s="112"/>
      <c r="I569" s="112"/>
      <c r="J569" s="2"/>
      <c r="K569" s="2"/>
      <c r="L569" s="2"/>
      <c r="M569" s="2"/>
    </row>
    <row r="570" spans="3:13">
      <c r="C570" s="2"/>
      <c r="D570" s="117"/>
      <c r="E570" s="813">
        <v>1996</v>
      </c>
      <c r="F570" s="814">
        <v>4.5199999999999997E-2</v>
      </c>
      <c r="G570" s="121">
        <v>8.7099999999999997E-2</v>
      </c>
      <c r="H570" s="112"/>
      <c r="I570" s="112"/>
      <c r="J570" s="2"/>
      <c r="K570" s="2"/>
      <c r="L570" s="2"/>
      <c r="M570" s="2"/>
    </row>
    <row r="571" spans="3:13">
      <c r="C571" s="2"/>
      <c r="D571" s="117"/>
      <c r="E571" s="813">
        <v>1997</v>
      </c>
      <c r="F571" s="814">
        <v>4.5199999999999997E-2</v>
      </c>
      <c r="G571" s="121">
        <v>8.7099999999999997E-2</v>
      </c>
      <c r="H571" s="112"/>
      <c r="I571" s="112"/>
      <c r="J571" s="2"/>
      <c r="K571" s="2"/>
      <c r="L571" s="2"/>
      <c r="M571" s="2"/>
    </row>
    <row r="572" spans="3:13">
      <c r="C572" s="2"/>
      <c r="D572" s="117"/>
      <c r="E572" s="813">
        <v>1998</v>
      </c>
      <c r="F572" s="819">
        <v>4.1200000000000001E-2</v>
      </c>
      <c r="G572" s="122">
        <v>7.7799999999999994E-2</v>
      </c>
      <c r="H572" s="112"/>
      <c r="I572" s="112"/>
      <c r="J572" s="2"/>
      <c r="K572" s="2"/>
      <c r="L572" s="2"/>
      <c r="M572" s="2"/>
    </row>
    <row r="573" spans="3:13">
      <c r="C573" s="2"/>
      <c r="D573" s="117"/>
      <c r="E573" s="813">
        <v>1999</v>
      </c>
      <c r="F573" s="819">
        <v>3.3300000000000003E-2</v>
      </c>
      <c r="G573" s="122">
        <v>5.9299999999999999E-2</v>
      </c>
      <c r="H573" s="112"/>
      <c r="I573" s="112"/>
      <c r="J573" s="2"/>
      <c r="K573" s="2"/>
      <c r="L573" s="2"/>
      <c r="M573" s="2"/>
    </row>
    <row r="574" spans="3:13">
      <c r="C574" s="2"/>
      <c r="D574" s="117"/>
      <c r="E574" s="813">
        <v>2000</v>
      </c>
      <c r="F574" s="819">
        <v>3.4000000000000002E-2</v>
      </c>
      <c r="G574" s="122">
        <v>6.0699999999999997E-2</v>
      </c>
      <c r="H574" s="112"/>
      <c r="I574" s="112"/>
      <c r="J574" s="2"/>
      <c r="K574" s="2"/>
      <c r="L574" s="2"/>
      <c r="M574" s="2"/>
    </row>
    <row r="575" spans="3:13">
      <c r="C575" s="2"/>
      <c r="D575" s="117"/>
      <c r="E575" s="813">
        <v>2001</v>
      </c>
      <c r="F575" s="819">
        <v>2.2100000000000002E-2</v>
      </c>
      <c r="G575" s="122">
        <v>3.2800000000000003E-2</v>
      </c>
      <c r="H575" s="112"/>
      <c r="I575" s="112"/>
      <c r="J575" s="2"/>
      <c r="K575" s="2"/>
      <c r="L575" s="2"/>
      <c r="M575" s="2"/>
    </row>
    <row r="576" spans="3:13">
      <c r="C576" s="2"/>
      <c r="D576" s="117"/>
      <c r="E576" s="813">
        <v>2002</v>
      </c>
      <c r="F576" s="819">
        <v>2.4199999999999999E-2</v>
      </c>
      <c r="G576" s="122">
        <v>3.78E-2</v>
      </c>
      <c r="H576" s="112"/>
      <c r="I576" s="112"/>
      <c r="J576" s="2"/>
      <c r="K576" s="2"/>
      <c r="L576" s="2"/>
      <c r="M576" s="2"/>
    </row>
    <row r="577" spans="3:13">
      <c r="C577" s="2"/>
      <c r="D577" s="117"/>
      <c r="E577" s="813">
        <v>2003</v>
      </c>
      <c r="F577" s="819">
        <v>2.2499999999999999E-2</v>
      </c>
      <c r="G577" s="122">
        <v>3.3000000000000002E-2</v>
      </c>
      <c r="H577" s="112"/>
      <c r="I577" s="112"/>
      <c r="J577" s="2"/>
      <c r="K577" s="2"/>
      <c r="L577" s="2"/>
      <c r="M577" s="2"/>
    </row>
    <row r="578" spans="3:13">
      <c r="C578" s="2"/>
      <c r="D578" s="117"/>
      <c r="E578" s="813">
        <v>2004</v>
      </c>
      <c r="F578" s="819">
        <v>1.6199999999999999E-2</v>
      </c>
      <c r="G578" s="122">
        <v>9.7999999999999997E-3</v>
      </c>
      <c r="H578" s="112"/>
      <c r="I578" s="112"/>
      <c r="J578" s="2"/>
      <c r="K578" s="2"/>
      <c r="L578" s="2"/>
      <c r="M578" s="2"/>
    </row>
    <row r="579" spans="3:13">
      <c r="C579" s="2"/>
      <c r="D579" s="117"/>
      <c r="E579" s="813">
        <v>2005</v>
      </c>
      <c r="F579" s="819">
        <v>1.6E-2</v>
      </c>
      <c r="G579" s="122">
        <v>8.0999999999999996E-3</v>
      </c>
      <c r="H579" s="112"/>
      <c r="I579" s="112"/>
      <c r="J579" s="2"/>
      <c r="K579" s="2"/>
      <c r="L579" s="2"/>
      <c r="M579" s="2"/>
    </row>
    <row r="580" spans="3:13">
      <c r="C580" s="2"/>
      <c r="D580" s="117"/>
      <c r="E580" s="813">
        <v>2006</v>
      </c>
      <c r="F580" s="819">
        <v>1.5900000000000001E-2</v>
      </c>
      <c r="G580" s="122">
        <v>8.8000000000000005E-3</v>
      </c>
      <c r="H580" s="112"/>
      <c r="I580" s="112"/>
      <c r="J580" s="2"/>
      <c r="K580" s="2"/>
      <c r="L580" s="2"/>
      <c r="M580" s="2"/>
    </row>
    <row r="581" spans="3:13">
      <c r="C581" s="2"/>
      <c r="D581" s="117"/>
      <c r="E581" s="813">
        <v>2007</v>
      </c>
      <c r="F581" s="814">
        <v>1.61E-2</v>
      </c>
      <c r="G581" s="121">
        <v>7.9000000000000008E-3</v>
      </c>
      <c r="H581" s="112"/>
      <c r="I581" s="112"/>
      <c r="J581" s="2"/>
      <c r="K581" s="2"/>
      <c r="L581" s="2"/>
      <c r="M581" s="2"/>
    </row>
    <row r="582" spans="3:13" ht="15.75" thickBot="1">
      <c r="C582" s="2"/>
      <c r="D582" s="123"/>
      <c r="E582" s="124" t="s">
        <v>220</v>
      </c>
      <c r="F582" s="125">
        <v>1.6299999999999999E-2</v>
      </c>
      <c r="G582" s="126">
        <v>6.6E-3</v>
      </c>
      <c r="H582" s="112"/>
      <c r="I582" s="112"/>
      <c r="J582" s="2"/>
      <c r="K582" s="2"/>
      <c r="L582" s="2"/>
      <c r="M582" s="2"/>
    </row>
    <row r="583" spans="3:13">
      <c r="C583" s="2"/>
      <c r="D583" s="113" t="s">
        <v>221</v>
      </c>
      <c r="E583" s="114" t="s">
        <v>222</v>
      </c>
      <c r="F583" s="115">
        <v>0.46039999999999998</v>
      </c>
      <c r="G583" s="116">
        <v>4.9700000000000001E-2</v>
      </c>
      <c r="H583" s="112"/>
      <c r="I583" s="112"/>
      <c r="J583" s="2"/>
      <c r="K583" s="2"/>
      <c r="L583" s="2"/>
      <c r="M583" s="2"/>
    </row>
    <row r="584" spans="3:13">
      <c r="C584" s="2"/>
      <c r="D584" s="117"/>
      <c r="E584" s="813" t="s">
        <v>223</v>
      </c>
      <c r="F584" s="814">
        <v>0.44919999999999999</v>
      </c>
      <c r="G584" s="121">
        <v>5.3800000000000001E-2</v>
      </c>
      <c r="H584" s="112"/>
      <c r="I584" s="112"/>
      <c r="J584" s="2"/>
      <c r="K584" s="2"/>
      <c r="L584" s="2"/>
      <c r="M584" s="2"/>
    </row>
    <row r="585" spans="3:13">
      <c r="C585" s="2"/>
      <c r="D585" s="117"/>
      <c r="E585" s="813" t="s">
        <v>224</v>
      </c>
      <c r="F585" s="814">
        <v>0.40899999999999997</v>
      </c>
      <c r="G585" s="121">
        <v>5.1499999999999997E-2</v>
      </c>
      <c r="H585" s="112"/>
      <c r="I585" s="112"/>
      <c r="J585" s="2"/>
      <c r="K585" s="2"/>
      <c r="L585" s="2"/>
      <c r="M585" s="2"/>
    </row>
    <row r="586" spans="3:13">
      <c r="C586" s="2"/>
      <c r="D586" s="117"/>
      <c r="E586" s="813">
        <v>1987</v>
      </c>
      <c r="F586" s="814">
        <v>0.36749999999999999</v>
      </c>
      <c r="G586" s="121">
        <v>8.4900000000000003E-2</v>
      </c>
      <c r="H586" s="112"/>
      <c r="I586" s="112"/>
      <c r="J586" s="2"/>
      <c r="K586" s="2"/>
      <c r="L586" s="2"/>
      <c r="M586" s="2"/>
    </row>
    <row r="587" spans="3:13">
      <c r="C587" s="2"/>
      <c r="D587" s="117"/>
      <c r="E587" s="813" t="s">
        <v>225</v>
      </c>
      <c r="F587" s="814">
        <v>0.34920000000000001</v>
      </c>
      <c r="G587" s="121">
        <v>9.3299999999999994E-2</v>
      </c>
      <c r="H587" s="112"/>
      <c r="I587" s="112"/>
      <c r="J587" s="2"/>
      <c r="K587" s="2"/>
      <c r="L587" s="2"/>
      <c r="M587" s="2"/>
    </row>
    <row r="588" spans="3:13">
      <c r="C588" s="2"/>
      <c r="D588" s="117"/>
      <c r="E588" s="813" t="s">
        <v>226</v>
      </c>
      <c r="F588" s="814">
        <v>0.3246</v>
      </c>
      <c r="G588" s="121">
        <v>0.1142</v>
      </c>
      <c r="H588" s="112"/>
      <c r="I588" s="112"/>
      <c r="J588" s="2"/>
      <c r="K588" s="2"/>
      <c r="L588" s="2"/>
      <c r="M588" s="2"/>
    </row>
    <row r="589" spans="3:13">
      <c r="C589" s="2"/>
      <c r="D589" s="117"/>
      <c r="E589" s="813">
        <v>1996</v>
      </c>
      <c r="F589" s="814">
        <v>0.1278</v>
      </c>
      <c r="G589" s="121">
        <v>0.16800000000000001</v>
      </c>
      <c r="H589" s="112"/>
      <c r="I589" s="112"/>
      <c r="J589" s="2"/>
      <c r="K589" s="2"/>
      <c r="L589" s="2"/>
      <c r="M589" s="2"/>
    </row>
    <row r="590" spans="3:13">
      <c r="C590" s="2"/>
      <c r="D590" s="117"/>
      <c r="E590" s="813">
        <v>1997</v>
      </c>
      <c r="F590" s="814">
        <v>9.2399999999999996E-2</v>
      </c>
      <c r="G590" s="121">
        <v>0.1726</v>
      </c>
      <c r="H590" s="112"/>
      <c r="I590" s="112"/>
      <c r="J590" s="2"/>
      <c r="K590" s="2"/>
      <c r="L590" s="2"/>
      <c r="M590" s="2"/>
    </row>
    <row r="591" spans="3:13">
      <c r="C591" s="2"/>
      <c r="D591" s="117"/>
      <c r="E591" s="813">
        <v>1998</v>
      </c>
      <c r="F591" s="819">
        <v>6.5500000000000003E-2</v>
      </c>
      <c r="G591" s="122">
        <v>0.17499999999999999</v>
      </c>
      <c r="H591" s="112"/>
      <c r="I591" s="112"/>
      <c r="J591" s="2"/>
      <c r="K591" s="2"/>
      <c r="L591" s="2"/>
      <c r="M591" s="2"/>
    </row>
    <row r="592" spans="3:13">
      <c r="C592" s="2"/>
      <c r="D592" s="117"/>
      <c r="E592" s="813">
        <v>1999</v>
      </c>
      <c r="F592" s="819">
        <v>6.4799999999999996E-2</v>
      </c>
      <c r="G592" s="122">
        <v>0.17213999999999999</v>
      </c>
      <c r="H592" s="112"/>
      <c r="I592" s="112"/>
      <c r="J592" s="2"/>
      <c r="K592" s="2"/>
      <c r="L592" s="2"/>
      <c r="M592" s="2"/>
    </row>
    <row r="593" spans="3:13">
      <c r="C593" s="2"/>
      <c r="D593" s="117"/>
      <c r="E593" s="813">
        <v>2000</v>
      </c>
      <c r="F593" s="819">
        <v>6.3E-2</v>
      </c>
      <c r="G593" s="122">
        <v>0.16499</v>
      </c>
      <c r="H593" s="112"/>
      <c r="I593" s="112"/>
      <c r="J593" s="2"/>
      <c r="K593" s="2"/>
      <c r="L593" s="2"/>
      <c r="M593" s="2"/>
    </row>
    <row r="594" spans="3:13">
      <c r="C594" s="2"/>
      <c r="D594" s="117"/>
      <c r="E594" s="813">
        <v>2001</v>
      </c>
      <c r="F594" s="819">
        <v>5.7799999999999997E-2</v>
      </c>
      <c r="G594" s="122">
        <v>0.14353999999999997</v>
      </c>
      <c r="H594" s="112"/>
      <c r="I594" s="112"/>
      <c r="J594" s="2"/>
      <c r="K594" s="2"/>
      <c r="L594" s="2"/>
      <c r="M594" s="2"/>
    </row>
    <row r="595" spans="3:13">
      <c r="C595" s="2"/>
      <c r="D595" s="117"/>
      <c r="E595" s="813">
        <v>2002</v>
      </c>
      <c r="F595" s="819">
        <v>6.3399999999999998E-2</v>
      </c>
      <c r="G595" s="122">
        <v>0.16641999999999998</v>
      </c>
      <c r="H595" s="112"/>
      <c r="I595" s="112"/>
      <c r="J595" s="2"/>
      <c r="K595" s="2"/>
      <c r="L595" s="2"/>
      <c r="M595" s="2"/>
    </row>
    <row r="596" spans="3:13">
      <c r="C596" s="2"/>
      <c r="D596" s="117"/>
      <c r="E596" s="813">
        <v>2003</v>
      </c>
      <c r="F596" s="819">
        <v>6.0299999999999999E-2</v>
      </c>
      <c r="G596" s="122">
        <v>0.153364</v>
      </c>
      <c r="H596" s="112"/>
      <c r="I596" s="112"/>
      <c r="J596" s="2"/>
      <c r="K596" s="2"/>
      <c r="L596" s="2"/>
      <c r="M596" s="2"/>
    </row>
    <row r="597" spans="3:13">
      <c r="C597" s="2"/>
      <c r="D597" s="117"/>
      <c r="E597" s="813">
        <v>2004</v>
      </c>
      <c r="F597" s="819">
        <v>3.2300000000000002E-2</v>
      </c>
      <c r="G597" s="122">
        <v>1.9538E-2</v>
      </c>
      <c r="H597" s="112"/>
      <c r="I597" s="112"/>
      <c r="J597" s="2"/>
      <c r="K597" s="2"/>
      <c r="L597" s="2"/>
      <c r="M597" s="2"/>
    </row>
    <row r="598" spans="3:13">
      <c r="C598" s="2"/>
      <c r="D598" s="117"/>
      <c r="E598" s="813">
        <v>2005</v>
      </c>
      <c r="F598" s="819">
        <v>3.2899999999999999E-2</v>
      </c>
      <c r="G598" s="122">
        <v>1.619E-2</v>
      </c>
      <c r="H598" s="112"/>
      <c r="I598" s="112"/>
      <c r="J598" s="2"/>
      <c r="K598" s="2"/>
      <c r="L598" s="2"/>
      <c r="M598" s="2"/>
    </row>
    <row r="599" spans="3:13">
      <c r="C599" s="2"/>
      <c r="D599" s="117"/>
      <c r="E599" s="813">
        <v>2006</v>
      </c>
      <c r="F599" s="819">
        <v>3.1800000000000002E-2</v>
      </c>
      <c r="G599" s="122">
        <v>2.2700000000000001E-2</v>
      </c>
      <c r="H599" s="112"/>
      <c r="I599" s="112"/>
      <c r="J599" s="2"/>
      <c r="K599" s="2"/>
      <c r="L599" s="2"/>
      <c r="M599" s="2"/>
    </row>
    <row r="600" spans="3:13">
      <c r="C600" s="2"/>
      <c r="D600" s="117"/>
      <c r="E600" s="813">
        <v>2007</v>
      </c>
      <c r="F600" s="819">
        <v>3.3300000000000003E-2</v>
      </c>
      <c r="G600" s="122">
        <v>1.34E-2</v>
      </c>
      <c r="H600" s="112"/>
      <c r="I600" s="112"/>
      <c r="J600" s="2"/>
      <c r="K600" s="2"/>
      <c r="L600" s="2"/>
      <c r="M600" s="2"/>
    </row>
    <row r="601" spans="3:13" ht="15.75" thickBot="1">
      <c r="C601" s="2"/>
      <c r="D601" s="123"/>
      <c r="E601" s="124" t="s">
        <v>220</v>
      </c>
      <c r="F601" s="125">
        <v>3.3300000000000003E-2</v>
      </c>
      <c r="G601" s="126">
        <v>1.34E-2</v>
      </c>
      <c r="H601" s="112"/>
      <c r="I601" s="112"/>
      <c r="J601" s="2"/>
      <c r="K601" s="2"/>
      <c r="L601" s="2"/>
      <c r="M601" s="2"/>
    </row>
    <row r="602" spans="3:13">
      <c r="C602" s="2"/>
      <c r="D602" s="1033" t="s">
        <v>227</v>
      </c>
      <c r="E602" s="114" t="s">
        <v>228</v>
      </c>
      <c r="F602" s="127">
        <v>8.9899999999999994E-2</v>
      </c>
      <c r="G602" s="128">
        <v>8.6999999999999994E-3</v>
      </c>
      <c r="H602" s="112"/>
      <c r="I602" s="112"/>
      <c r="J602" s="2"/>
      <c r="K602" s="2"/>
      <c r="L602" s="2"/>
      <c r="M602" s="2"/>
    </row>
    <row r="603" spans="3:13" ht="15.75" thickBot="1">
      <c r="C603" s="2"/>
      <c r="D603" s="1034"/>
      <c r="E603" s="124" t="s">
        <v>229</v>
      </c>
      <c r="F603" s="129">
        <v>6.7199999999999996E-2</v>
      </c>
      <c r="G603" s="130">
        <v>6.8999999999999999E-3</v>
      </c>
      <c r="H603" s="112"/>
      <c r="I603" s="112"/>
      <c r="J603" s="2"/>
      <c r="K603" s="2"/>
      <c r="L603" s="2"/>
      <c r="M603" s="2"/>
    </row>
    <row r="604" spans="3:13">
      <c r="C604" s="92"/>
      <c r="D604" s="59" t="s">
        <v>1808</v>
      </c>
      <c r="E604" s="60"/>
      <c r="F604" s="60"/>
      <c r="G604" s="60"/>
      <c r="H604" s="112"/>
      <c r="I604" s="60"/>
      <c r="J604" s="60"/>
      <c r="K604" s="60"/>
      <c r="L604" s="60"/>
      <c r="M604" s="60"/>
    </row>
    <row r="605" spans="3:13">
      <c r="C605" s="1"/>
      <c r="D605" s="2"/>
      <c r="E605" s="2"/>
      <c r="F605" s="2"/>
      <c r="G605" s="2"/>
      <c r="H605" s="2"/>
      <c r="I605" s="2"/>
      <c r="J605" s="2"/>
      <c r="K605" s="2"/>
      <c r="L605" s="2"/>
      <c r="M605" s="2"/>
    </row>
    <row r="606" spans="3:13" ht="18.75">
      <c r="C606" s="218" t="s">
        <v>1809</v>
      </c>
      <c r="D606" s="803" t="s">
        <v>1810</v>
      </c>
      <c r="E606" s="220"/>
      <c r="F606" s="220"/>
      <c r="G606" s="220"/>
      <c r="H606" s="220"/>
      <c r="I606" s="220"/>
      <c r="J606" s="220"/>
      <c r="K606" s="220"/>
      <c r="L606" s="220"/>
      <c r="M606" s="221"/>
    </row>
    <row r="607" spans="3:13" ht="15.75" thickBot="1">
      <c r="C607" s="2"/>
      <c r="D607" s="68"/>
      <c r="E607" s="68"/>
      <c r="F607" s="68"/>
      <c r="G607" s="68"/>
      <c r="H607" s="2"/>
      <c r="I607" s="2"/>
      <c r="J607" s="2"/>
      <c r="K607" s="2"/>
      <c r="L607" s="2"/>
      <c r="M607" s="2"/>
    </row>
    <row r="608" spans="3:13" ht="40.5" thickBot="1">
      <c r="C608" s="2"/>
      <c r="D608" s="131" t="s">
        <v>205</v>
      </c>
      <c r="E608" s="110" t="s">
        <v>232</v>
      </c>
      <c r="F608" s="110" t="s">
        <v>1811</v>
      </c>
      <c r="G608" s="111" t="s">
        <v>1795</v>
      </c>
      <c r="H608" s="2"/>
      <c r="I608" s="2"/>
      <c r="J608" s="2"/>
      <c r="K608" s="2"/>
      <c r="L608" s="2"/>
      <c r="M608" s="2"/>
    </row>
    <row r="609" spans="3:13">
      <c r="C609" s="2"/>
      <c r="D609" s="1033" t="s">
        <v>233</v>
      </c>
      <c r="E609" s="114" t="s">
        <v>234</v>
      </c>
      <c r="F609" s="132">
        <v>5.9999999999999995E-4</v>
      </c>
      <c r="G609" s="133">
        <v>1.1999999999999999E-3</v>
      </c>
      <c r="H609" s="134"/>
      <c r="I609" s="2"/>
      <c r="J609" s="2"/>
      <c r="K609" s="2"/>
      <c r="L609" s="2"/>
      <c r="M609" s="2"/>
    </row>
    <row r="610" spans="3:13">
      <c r="C610" s="2"/>
      <c r="D610" s="1035"/>
      <c r="E610" s="813" t="s">
        <v>235</v>
      </c>
      <c r="F610" s="822">
        <v>5.0000000000000001E-4</v>
      </c>
      <c r="G610" s="135">
        <v>1E-3</v>
      </c>
      <c r="H610" s="134"/>
      <c r="I610" s="2"/>
      <c r="J610" s="2"/>
      <c r="K610" s="2"/>
      <c r="L610" s="2"/>
      <c r="M610" s="2"/>
    </row>
    <row r="611" spans="3:13">
      <c r="C611" s="2"/>
      <c r="D611" s="1035"/>
      <c r="E611" s="813" t="s">
        <v>229</v>
      </c>
      <c r="F611" s="822">
        <v>5.0000000000000001E-4</v>
      </c>
      <c r="G611" s="135">
        <v>1E-3</v>
      </c>
      <c r="H611" s="134"/>
      <c r="I611" s="2"/>
      <c r="J611" s="2"/>
      <c r="K611" s="2"/>
      <c r="L611" s="2"/>
      <c r="M611" s="2"/>
    </row>
    <row r="612" spans="3:13">
      <c r="C612" s="136"/>
      <c r="D612" s="1036" t="s">
        <v>236</v>
      </c>
      <c r="E612" s="813" t="s">
        <v>234</v>
      </c>
      <c r="F612" s="822">
        <v>1.1000000000000001E-3</v>
      </c>
      <c r="G612" s="135">
        <v>1.6999999999999999E-3</v>
      </c>
      <c r="H612" s="134"/>
      <c r="I612" s="2"/>
      <c r="J612" s="2"/>
      <c r="K612" s="2"/>
      <c r="L612" s="2"/>
      <c r="M612" s="2"/>
    </row>
    <row r="613" spans="3:13">
      <c r="C613" s="136"/>
      <c r="D613" s="1035"/>
      <c r="E613" s="813" t="s">
        <v>235</v>
      </c>
      <c r="F613" s="822">
        <v>8.9999999999999998E-4</v>
      </c>
      <c r="G613" s="135">
        <v>1.4E-3</v>
      </c>
      <c r="H613" s="134"/>
      <c r="I613" s="2"/>
      <c r="J613" s="2"/>
      <c r="K613" s="2"/>
      <c r="L613" s="2"/>
      <c r="M613" s="2"/>
    </row>
    <row r="614" spans="3:13">
      <c r="C614" s="136"/>
      <c r="D614" s="1037"/>
      <c r="E614" s="813" t="s">
        <v>229</v>
      </c>
      <c r="F614" s="822">
        <v>1E-3</v>
      </c>
      <c r="G614" s="135">
        <v>1.5E-3</v>
      </c>
      <c r="H614" s="134"/>
      <c r="I614" s="2"/>
      <c r="J614" s="2"/>
      <c r="K614" s="2"/>
      <c r="L614" s="2"/>
      <c r="M614" s="2"/>
    </row>
    <row r="615" spans="3:13">
      <c r="C615" s="136"/>
      <c r="D615" s="15" t="s">
        <v>249</v>
      </c>
      <c r="E615" s="813" t="s">
        <v>250</v>
      </c>
      <c r="F615" s="822">
        <v>5.1000000000000004E-3</v>
      </c>
      <c r="G615" s="135">
        <v>4.7999999999999996E-3</v>
      </c>
      <c r="H615" s="134"/>
      <c r="I615" s="2"/>
      <c r="J615" s="2"/>
      <c r="K615" s="2"/>
      <c r="L615" s="2"/>
      <c r="M615" s="2"/>
    </row>
    <row r="616" spans="3:13">
      <c r="C616" s="136"/>
      <c r="D616" s="15" t="s">
        <v>254</v>
      </c>
      <c r="E616" s="823"/>
      <c r="F616" s="824">
        <v>0.73699999999999999</v>
      </c>
      <c r="G616" s="137">
        <v>0.05</v>
      </c>
      <c r="H616" s="134"/>
      <c r="I616" s="134"/>
      <c r="J616" s="2"/>
      <c r="K616" s="2"/>
      <c r="L616" s="2"/>
      <c r="M616" s="2"/>
    </row>
    <row r="617" spans="3:13">
      <c r="C617" s="136"/>
      <c r="D617" s="15" t="s">
        <v>258</v>
      </c>
      <c r="E617" s="823"/>
      <c r="F617" s="824">
        <v>1.966</v>
      </c>
      <c r="G617" s="137">
        <v>0.17499999999999999</v>
      </c>
      <c r="H617" s="134"/>
      <c r="I617" s="134"/>
      <c r="J617" s="2"/>
      <c r="K617" s="2"/>
      <c r="L617" s="2"/>
      <c r="M617" s="2"/>
    </row>
    <row r="618" spans="3:13">
      <c r="C618" s="136"/>
      <c r="D618" s="15" t="s">
        <v>262</v>
      </c>
      <c r="E618" s="823"/>
      <c r="F618" s="824">
        <v>1.966</v>
      </c>
      <c r="G618" s="137">
        <v>0.17499999999999999</v>
      </c>
      <c r="H618" s="134"/>
      <c r="I618" s="134"/>
      <c r="J618" s="2"/>
      <c r="K618" s="2"/>
      <c r="L618" s="2"/>
      <c r="M618" s="2"/>
    </row>
    <row r="619" spans="3:13">
      <c r="C619" s="136"/>
      <c r="D619" s="15" t="s">
        <v>266</v>
      </c>
      <c r="E619" s="823"/>
      <c r="F619" s="824">
        <v>3.6999999999999998E-2</v>
      </c>
      <c r="G619" s="137">
        <v>6.7000000000000004E-2</v>
      </c>
      <c r="H619" s="134"/>
      <c r="I619" s="134"/>
      <c r="J619" s="2"/>
      <c r="K619" s="2"/>
      <c r="L619" s="2"/>
      <c r="M619" s="2"/>
    </row>
    <row r="620" spans="3:13">
      <c r="C620" s="136"/>
      <c r="D620" s="15" t="s">
        <v>269</v>
      </c>
      <c r="E620" s="823"/>
      <c r="F620" s="824">
        <v>6.6000000000000003E-2</v>
      </c>
      <c r="G620" s="137">
        <v>0.17499999999999999</v>
      </c>
      <c r="H620" s="134"/>
      <c r="I620" s="134"/>
      <c r="J620" s="2"/>
      <c r="K620" s="2"/>
      <c r="L620" s="2"/>
      <c r="M620" s="2"/>
    </row>
    <row r="621" spans="3:13">
      <c r="C621" s="136"/>
      <c r="D621" s="15" t="s">
        <v>273</v>
      </c>
      <c r="E621" s="823"/>
      <c r="F621" s="824">
        <v>1.966</v>
      </c>
      <c r="G621" s="137">
        <v>0.17499999999999999</v>
      </c>
      <c r="H621" s="134"/>
      <c r="I621" s="134"/>
      <c r="J621" s="2"/>
      <c r="K621" s="2"/>
      <c r="L621" s="2"/>
      <c r="M621" s="2"/>
    </row>
    <row r="622" spans="3:13">
      <c r="C622" s="136"/>
      <c r="D622" s="15" t="s">
        <v>277</v>
      </c>
      <c r="E622" s="823"/>
      <c r="F622" s="824">
        <v>5.5E-2</v>
      </c>
      <c r="G622" s="137">
        <v>6.7000000000000004E-2</v>
      </c>
      <c r="H622" s="134"/>
      <c r="I622" s="134"/>
      <c r="J622" s="2"/>
      <c r="K622" s="2"/>
      <c r="L622" s="2"/>
      <c r="M622" s="2"/>
    </row>
    <row r="623" spans="3:13">
      <c r="C623" s="136"/>
      <c r="D623" s="15" t="s">
        <v>279</v>
      </c>
      <c r="E623" s="823"/>
      <c r="F623" s="824">
        <v>0.19700000000000001</v>
      </c>
      <c r="G623" s="137">
        <v>0.17499999999999999</v>
      </c>
      <c r="H623" s="134"/>
      <c r="I623" s="134"/>
      <c r="J623" s="2"/>
      <c r="K623" s="2"/>
      <c r="L623" s="2"/>
      <c r="M623" s="2"/>
    </row>
    <row r="624" spans="3:13">
      <c r="C624" s="2"/>
      <c r="D624" s="138" t="s">
        <v>281</v>
      </c>
      <c r="E624" s="823"/>
      <c r="F624" s="824">
        <v>0.19700000000000001</v>
      </c>
      <c r="G624" s="137">
        <v>0.17499999999999999</v>
      </c>
      <c r="H624" s="134"/>
      <c r="I624" s="134"/>
      <c r="J624" s="2"/>
      <c r="K624" s="2"/>
      <c r="L624" s="2"/>
      <c r="M624" s="2"/>
    </row>
    <row r="625" spans="3:13">
      <c r="C625" s="136"/>
      <c r="D625" s="15" t="s">
        <v>276</v>
      </c>
      <c r="E625" s="823"/>
      <c r="F625" s="822">
        <v>5.0000000000000001E-4</v>
      </c>
      <c r="G625" s="137">
        <v>1E-3</v>
      </c>
      <c r="H625" s="134"/>
      <c r="I625" s="134"/>
      <c r="J625" s="2"/>
      <c r="K625" s="2"/>
      <c r="L625" s="2"/>
      <c r="M625" s="2"/>
    </row>
    <row r="626" spans="3:13">
      <c r="C626" s="136"/>
      <c r="D626" s="15" t="s">
        <v>286</v>
      </c>
      <c r="E626" s="823"/>
      <c r="F626" s="824">
        <v>5.0000000000000001E-3</v>
      </c>
      <c r="G626" s="137">
        <v>5.0000000000000001E-3</v>
      </c>
      <c r="H626" s="134"/>
      <c r="I626" s="134"/>
      <c r="J626" s="2"/>
      <c r="K626" s="2"/>
      <c r="L626" s="2"/>
      <c r="M626" s="2"/>
    </row>
    <row r="627" spans="3:13" ht="15.75" thickBot="1">
      <c r="C627" s="2"/>
      <c r="D627" s="123" t="s">
        <v>289</v>
      </c>
      <c r="E627" s="139"/>
      <c r="F627" s="140">
        <v>5.0000000000000001E-3</v>
      </c>
      <c r="G627" s="141">
        <v>5.0000000000000001E-3</v>
      </c>
      <c r="H627" s="134"/>
      <c r="I627" s="134"/>
      <c r="J627" s="2"/>
      <c r="K627" s="2"/>
      <c r="L627" s="2"/>
      <c r="M627" s="2"/>
    </row>
    <row r="628" spans="3:13">
      <c r="C628" s="2"/>
      <c r="D628" s="59" t="s">
        <v>1808</v>
      </c>
      <c r="E628" s="142"/>
      <c r="F628" s="142"/>
      <c r="G628" s="142"/>
      <c r="H628" s="134"/>
      <c r="I628" s="134"/>
      <c r="J628" s="2"/>
      <c r="K628" s="2"/>
      <c r="L628" s="2"/>
      <c r="M628" s="2"/>
    </row>
    <row r="629" spans="3:13">
      <c r="C629" s="2"/>
      <c r="D629" s="2"/>
      <c r="E629" s="2"/>
      <c r="F629" s="2"/>
      <c r="G629" s="2"/>
      <c r="H629" s="2"/>
      <c r="I629" s="2"/>
      <c r="J629" s="2"/>
      <c r="K629" s="2"/>
      <c r="L629" s="2"/>
      <c r="M629" s="2"/>
    </row>
    <row r="630" spans="3:13" ht="18.75">
      <c r="C630" s="218" t="s">
        <v>1819</v>
      </c>
      <c r="D630" s="803" t="s">
        <v>1820</v>
      </c>
      <c r="E630" s="825"/>
      <c r="F630" s="825"/>
      <c r="G630" s="825"/>
      <c r="H630" s="220"/>
      <c r="I630" s="220"/>
      <c r="J630" s="220"/>
      <c r="K630" s="220"/>
      <c r="L630" s="220"/>
      <c r="M630" s="221"/>
    </row>
    <row r="631" spans="3:13" ht="15.75" thickBot="1">
      <c r="C631" s="2"/>
      <c r="D631" s="88"/>
      <c r="E631" s="2"/>
      <c r="F631" s="2"/>
      <c r="G631" s="2"/>
      <c r="H631" s="2"/>
      <c r="I631" s="2"/>
      <c r="J631" s="2"/>
      <c r="K631" s="2"/>
      <c r="L631" s="2"/>
      <c r="M631" s="2"/>
    </row>
    <row r="632" spans="3:13" ht="53.25" thickBot="1">
      <c r="C632" s="2"/>
      <c r="D632" s="143" t="s">
        <v>205</v>
      </c>
      <c r="E632" s="110" t="s">
        <v>1822</v>
      </c>
      <c r="F632" s="111" t="s">
        <v>1823</v>
      </c>
      <c r="G632" s="2"/>
      <c r="H632" s="2"/>
      <c r="I632" s="2"/>
      <c r="J632" s="2"/>
      <c r="K632" s="2"/>
      <c r="L632" s="2"/>
      <c r="M632" s="2"/>
    </row>
    <row r="633" spans="3:13">
      <c r="C633" s="2"/>
      <c r="D633" s="15" t="s">
        <v>302</v>
      </c>
      <c r="E633" s="798">
        <v>0.11</v>
      </c>
      <c r="F633" s="47">
        <v>0.56999999999999995</v>
      </c>
      <c r="G633" s="2"/>
      <c r="H633" s="144"/>
      <c r="I633" s="144"/>
      <c r="J633" s="2"/>
      <c r="K633" s="2"/>
      <c r="L633" s="2"/>
      <c r="M633" s="2"/>
    </row>
    <row r="634" spans="3:13">
      <c r="C634" s="2"/>
      <c r="D634" s="15" t="s">
        <v>298</v>
      </c>
      <c r="E634" s="798">
        <v>0.64</v>
      </c>
      <c r="F634" s="47">
        <v>0.22</v>
      </c>
      <c r="G634" s="2"/>
      <c r="H634" s="144"/>
      <c r="I634" s="144"/>
      <c r="J634" s="2"/>
      <c r="K634" s="2"/>
      <c r="L634" s="2"/>
      <c r="M634" s="2"/>
    </row>
    <row r="635" spans="3:13">
      <c r="C635" s="2"/>
      <c r="D635" s="15" t="s">
        <v>301</v>
      </c>
      <c r="E635" s="798">
        <v>0.06</v>
      </c>
      <c r="F635" s="47">
        <v>0.45</v>
      </c>
      <c r="G635" s="2"/>
      <c r="H635" s="144"/>
      <c r="I635" s="144"/>
      <c r="J635" s="2"/>
      <c r="K635" s="2"/>
      <c r="L635" s="2"/>
      <c r="M635" s="2"/>
    </row>
    <row r="636" spans="3:13">
      <c r="C636" s="2"/>
      <c r="D636" s="15" t="s">
        <v>308</v>
      </c>
      <c r="E636" s="798">
        <v>0.8</v>
      </c>
      <c r="F636" s="47">
        <v>0.26</v>
      </c>
      <c r="G636" s="2"/>
      <c r="H636" s="144"/>
      <c r="I636" s="144"/>
      <c r="J636" s="2"/>
      <c r="K636" s="2"/>
      <c r="L636" s="2"/>
      <c r="M636" s="2"/>
    </row>
    <row r="637" spans="3:13">
      <c r="C637" s="2"/>
      <c r="D637" s="15" t="s">
        <v>294</v>
      </c>
      <c r="E637" s="798">
        <v>1.26</v>
      </c>
      <c r="F637" s="47">
        <v>0.22</v>
      </c>
      <c r="G637" s="2"/>
      <c r="H637" s="144"/>
      <c r="I637" s="144"/>
      <c r="J637" s="2"/>
      <c r="K637" s="2"/>
      <c r="L637" s="2"/>
      <c r="M637" s="2"/>
    </row>
    <row r="638" spans="3:13">
      <c r="C638" s="2"/>
      <c r="D638" s="15" t="s">
        <v>297</v>
      </c>
      <c r="E638" s="798">
        <v>1.44</v>
      </c>
      <c r="F638" s="47">
        <v>0.26</v>
      </c>
      <c r="G638" s="2"/>
      <c r="H638" s="144"/>
      <c r="I638" s="144"/>
      <c r="J638" s="2"/>
      <c r="K638" s="2"/>
      <c r="L638" s="2"/>
      <c r="M638" s="2"/>
    </row>
    <row r="639" spans="3:13">
      <c r="C639" s="2"/>
      <c r="D639" s="15" t="s">
        <v>312</v>
      </c>
      <c r="E639" s="798">
        <v>0.5</v>
      </c>
      <c r="F639" s="47">
        <v>0.22</v>
      </c>
      <c r="G639" s="2"/>
      <c r="H639" s="144"/>
      <c r="I639" s="144"/>
      <c r="J639" s="2"/>
      <c r="K639" s="2"/>
      <c r="L639" s="2"/>
      <c r="M639" s="2"/>
    </row>
    <row r="640" spans="3:13">
      <c r="C640" s="2"/>
      <c r="D640" s="15" t="s">
        <v>313</v>
      </c>
      <c r="E640" s="826">
        <v>0.56999999999999995</v>
      </c>
      <c r="F640" s="47">
        <v>0.26</v>
      </c>
      <c r="G640" s="2"/>
      <c r="H640" s="144"/>
      <c r="I640" s="144"/>
      <c r="J640" s="2"/>
      <c r="K640" s="2"/>
      <c r="L640" s="2"/>
      <c r="M640" s="2"/>
    </row>
    <row r="641" spans="3:14">
      <c r="C641" s="2"/>
      <c r="D641" s="15" t="s">
        <v>303</v>
      </c>
      <c r="E641" s="826">
        <v>0</v>
      </c>
      <c r="F641" s="47">
        <v>0.3</v>
      </c>
      <c r="G641" s="2"/>
      <c r="H641" s="144"/>
      <c r="I641" s="144"/>
      <c r="J641" s="2"/>
      <c r="K641" s="2"/>
      <c r="L641" s="2"/>
      <c r="M641" s="2"/>
    </row>
    <row r="642" spans="3:14">
      <c r="C642" s="2"/>
      <c r="D642" s="15" t="s">
        <v>305</v>
      </c>
      <c r="E642" s="798">
        <v>7.06</v>
      </c>
      <c r="F642" s="47">
        <v>0.11</v>
      </c>
      <c r="G642" s="2"/>
      <c r="H642" s="144"/>
      <c r="I642" s="144"/>
      <c r="J642" s="2"/>
      <c r="K642" s="2"/>
      <c r="L642" s="2"/>
      <c r="M642" s="2"/>
    </row>
    <row r="643" spans="3:14">
      <c r="C643" s="2"/>
      <c r="D643" s="15" t="s">
        <v>309</v>
      </c>
      <c r="E643" s="798">
        <v>0.5</v>
      </c>
      <c r="F643" s="47">
        <v>0.22</v>
      </c>
      <c r="G643" s="2"/>
      <c r="H643" s="144"/>
      <c r="I643" s="144"/>
      <c r="J643" s="2"/>
      <c r="K643" s="2"/>
      <c r="L643" s="2"/>
      <c r="M643" s="2"/>
    </row>
    <row r="644" spans="3:14">
      <c r="C644" s="2"/>
      <c r="D644" s="15" t="s">
        <v>310</v>
      </c>
      <c r="E644" s="798">
        <v>0.56999999999999995</v>
      </c>
      <c r="F644" s="47">
        <v>0.26</v>
      </c>
      <c r="G644" s="2"/>
      <c r="H644" s="144"/>
      <c r="I644" s="144"/>
      <c r="J644" s="2"/>
      <c r="K644" s="2"/>
      <c r="L644" s="2"/>
      <c r="M644" s="2"/>
    </row>
    <row r="645" spans="3:14">
      <c r="C645" s="2"/>
      <c r="D645" s="145" t="s">
        <v>314</v>
      </c>
      <c r="E645" s="146">
        <v>0.5</v>
      </c>
      <c r="F645" s="147">
        <v>0.22</v>
      </c>
      <c r="G645" s="2"/>
      <c r="H645" s="144"/>
      <c r="I645" s="144"/>
      <c r="J645" s="2"/>
      <c r="K645" s="2"/>
      <c r="L645" s="2"/>
      <c r="M645" s="2"/>
    </row>
    <row r="646" spans="3:14" ht="15.75" thickBot="1">
      <c r="C646" s="2"/>
      <c r="D646" s="148" t="s">
        <v>315</v>
      </c>
      <c r="E646" s="57">
        <v>0.56999999999999995</v>
      </c>
      <c r="F646" s="149">
        <v>0.26</v>
      </c>
      <c r="G646" s="2"/>
      <c r="H646" s="144"/>
      <c r="I646" s="144"/>
      <c r="J646" s="2"/>
      <c r="K646" s="2"/>
      <c r="L646" s="2"/>
      <c r="M646" s="2"/>
    </row>
    <row r="647" spans="3:14">
      <c r="C647" s="2"/>
      <c r="D647" s="59" t="s">
        <v>1827</v>
      </c>
      <c r="E647" s="833"/>
      <c r="F647" s="833"/>
      <c r="G647" s="833"/>
      <c r="H647" s="833"/>
      <c r="I647" s="833"/>
      <c r="J647" s="2"/>
      <c r="K647" s="2"/>
      <c r="L647" s="2"/>
      <c r="M647" s="2"/>
    </row>
    <row r="648" spans="3:14">
      <c r="C648" s="2"/>
      <c r="D648" s="150" t="s">
        <v>1829</v>
      </c>
      <c r="E648" s="833"/>
      <c r="F648" s="833"/>
      <c r="G648" s="833"/>
      <c r="H648" s="833"/>
      <c r="I648" s="833"/>
      <c r="J648" s="2"/>
      <c r="K648" s="2"/>
      <c r="L648" s="2"/>
      <c r="M648" s="2"/>
    </row>
    <row r="651" spans="3:14" ht="15.75">
      <c r="C651" s="218" t="s">
        <v>1830</v>
      </c>
      <c r="D651" s="1038" t="s">
        <v>443</v>
      </c>
      <c r="E651" s="1039"/>
      <c r="F651" s="1039"/>
      <c r="G651" s="1039"/>
      <c r="H651" s="1039"/>
      <c r="I651" s="220"/>
      <c r="J651" s="220"/>
      <c r="K651" s="220"/>
      <c r="L651" s="220"/>
      <c r="M651" s="221"/>
      <c r="N651" s="2"/>
    </row>
    <row r="652" spans="3:14" ht="15.75" thickBot="1">
      <c r="C652" s="106"/>
      <c r="D652" s="106"/>
      <c r="E652" s="106"/>
      <c r="F652" s="106"/>
      <c r="G652" s="106"/>
      <c r="H652" s="106"/>
      <c r="I652" s="106"/>
      <c r="J652" s="106"/>
      <c r="K652" s="106"/>
      <c r="L652" s="106"/>
      <c r="M652" s="106"/>
      <c r="N652" s="106"/>
    </row>
    <row r="653" spans="3:14" ht="53.25" thickBot="1">
      <c r="C653" s="1"/>
      <c r="D653" s="143" t="s">
        <v>205</v>
      </c>
      <c r="E653" s="110" t="s">
        <v>1831</v>
      </c>
      <c r="F653" s="110" t="s">
        <v>1832</v>
      </c>
      <c r="G653" s="110" t="s">
        <v>1833</v>
      </c>
      <c r="H653" s="111" t="s">
        <v>111</v>
      </c>
      <c r="I653" s="2"/>
      <c r="J653" s="2"/>
      <c r="K653" s="2"/>
      <c r="L653" s="2"/>
      <c r="M653" s="2"/>
      <c r="N653" s="2"/>
    </row>
    <row r="654" spans="3:14">
      <c r="C654" s="1"/>
      <c r="D654" s="151" t="s">
        <v>1834</v>
      </c>
      <c r="E654" s="152">
        <v>0.34300000000000003</v>
      </c>
      <c r="F654" s="152">
        <v>1.9E-2</v>
      </c>
      <c r="G654" s="152">
        <v>1.0999999999999999E-2</v>
      </c>
      <c r="H654" s="153" t="s">
        <v>448</v>
      </c>
      <c r="I654" s="17"/>
      <c r="J654" s="17"/>
      <c r="K654" s="17"/>
      <c r="L654" s="2"/>
      <c r="M654" s="2"/>
      <c r="N654" s="2"/>
    </row>
    <row r="655" spans="3:14">
      <c r="C655" s="1"/>
      <c r="D655" s="18" t="s">
        <v>1835</v>
      </c>
      <c r="E655" s="827">
        <v>0.47199999999999998</v>
      </c>
      <c r="F655" s="827">
        <v>1.9E-2</v>
      </c>
      <c r="G655" s="827">
        <v>1.7999999999999999E-2</v>
      </c>
      <c r="H655" s="154" t="s">
        <v>448</v>
      </c>
      <c r="I655" s="17"/>
      <c r="J655" s="17"/>
      <c r="K655" s="17"/>
      <c r="L655" s="2"/>
      <c r="M655" s="2"/>
      <c r="N655" s="2"/>
    </row>
    <row r="656" spans="3:14">
      <c r="C656" s="1"/>
      <c r="D656" s="18" t="s">
        <v>450</v>
      </c>
      <c r="E656" s="827">
        <v>0.189</v>
      </c>
      <c r="F656" s="811">
        <v>7.0000000000000007E-2</v>
      </c>
      <c r="G656" s="811">
        <v>7.0000000000000001E-3</v>
      </c>
      <c r="H656" s="154" t="s">
        <v>448</v>
      </c>
      <c r="I656" s="17"/>
      <c r="J656" s="17"/>
      <c r="K656" s="17"/>
      <c r="L656" s="2"/>
      <c r="M656" s="2"/>
      <c r="N656" s="2"/>
    </row>
    <row r="657" spans="3:14">
      <c r="C657" s="1"/>
      <c r="D657" s="18" t="s">
        <v>1837</v>
      </c>
      <c r="E657" s="828">
        <v>0.14000000000000001</v>
      </c>
      <c r="F657" s="829">
        <v>8.6999999999999994E-3</v>
      </c>
      <c r="G657" s="829">
        <v>3.0999999999999999E-3</v>
      </c>
      <c r="H657" s="154" t="s">
        <v>452</v>
      </c>
      <c r="I657" s="17"/>
      <c r="J657" s="17"/>
      <c r="K657" s="112"/>
      <c r="L657" s="155"/>
      <c r="M657" s="2"/>
      <c r="N657" s="2"/>
    </row>
    <row r="658" spans="3:14">
      <c r="C658" s="1"/>
      <c r="D658" s="156" t="s">
        <v>1838</v>
      </c>
      <c r="E658" s="828">
        <v>0.161</v>
      </c>
      <c r="F658" s="829">
        <v>8.0999999999999996E-3</v>
      </c>
      <c r="G658" s="829">
        <v>3.2000000000000002E-3</v>
      </c>
      <c r="H658" s="154" t="s">
        <v>452</v>
      </c>
      <c r="I658" s="17"/>
      <c r="J658" s="17"/>
      <c r="K658" s="112"/>
      <c r="L658" s="155"/>
      <c r="M658" s="2"/>
      <c r="N658" s="2"/>
    </row>
    <row r="659" spans="3:14">
      <c r="C659" s="1"/>
      <c r="D659" s="156" t="s">
        <v>1839</v>
      </c>
      <c r="E659" s="828">
        <v>0.11899999999999999</v>
      </c>
      <c r="F659" s="829">
        <v>2.5000000000000001E-3</v>
      </c>
      <c r="G659" s="829">
        <v>1.6999999999999999E-3</v>
      </c>
      <c r="H659" s="154" t="s">
        <v>452</v>
      </c>
      <c r="I659" s="17"/>
      <c r="J659" s="17"/>
      <c r="K659" s="112"/>
      <c r="L659" s="155"/>
      <c r="M659" s="2"/>
      <c r="N659" s="2"/>
    </row>
    <row r="660" spans="3:14">
      <c r="C660" s="1"/>
      <c r="D660" s="156" t="s">
        <v>397</v>
      </c>
      <c r="E660" s="827">
        <v>5.6000000000000001E-2</v>
      </c>
      <c r="F660" s="830">
        <v>1.2917147824303154E-3</v>
      </c>
      <c r="G660" s="819">
        <v>8.6692267277202364E-4</v>
      </c>
      <c r="H660" s="154" t="s">
        <v>452</v>
      </c>
      <c r="I660" s="17"/>
      <c r="J660" s="17"/>
      <c r="K660" s="17"/>
      <c r="L660" s="2"/>
      <c r="M660" s="2"/>
      <c r="N660" s="2"/>
    </row>
    <row r="661" spans="3:14">
      <c r="C661" s="71"/>
      <c r="D661" s="18" t="s">
        <v>455</v>
      </c>
      <c r="E661" s="152">
        <v>0.22500000000000001</v>
      </c>
      <c r="F661" s="819">
        <v>3.8999999999999998E-3</v>
      </c>
      <c r="G661" s="819">
        <v>7.1753814281706558E-3</v>
      </c>
      <c r="H661" s="154" t="s">
        <v>452</v>
      </c>
      <c r="I661" s="25"/>
      <c r="J661" s="17"/>
      <c r="K661" s="17"/>
      <c r="L661" s="2"/>
      <c r="M661" s="2"/>
      <c r="N661" s="2"/>
    </row>
    <row r="662" spans="3:14" ht="102.75">
      <c r="C662" s="71"/>
      <c r="D662" s="157" t="s">
        <v>456</v>
      </c>
      <c r="E662" s="827">
        <v>0.13600000000000001</v>
      </c>
      <c r="F662" s="819">
        <v>5.9999999999999995E-4</v>
      </c>
      <c r="G662" s="819">
        <v>4.3E-3</v>
      </c>
      <c r="H662" s="154" t="s">
        <v>452</v>
      </c>
      <c r="I662" s="17"/>
      <c r="J662" s="17"/>
      <c r="K662" s="17"/>
      <c r="L662" s="2"/>
      <c r="M662" s="2"/>
      <c r="N662" s="2"/>
    </row>
    <row r="663" spans="3:14" ht="15.75" thickBot="1">
      <c r="C663" s="71"/>
      <c r="D663" s="54" t="s">
        <v>457</v>
      </c>
      <c r="E663" s="158">
        <v>0.16600000000000001</v>
      </c>
      <c r="F663" s="159">
        <v>5.9999999999999995E-4</v>
      </c>
      <c r="G663" s="160">
        <v>5.3E-3</v>
      </c>
      <c r="H663" s="161" t="s">
        <v>452</v>
      </c>
      <c r="I663" s="17"/>
      <c r="J663" s="17"/>
      <c r="K663" s="17"/>
      <c r="L663" s="2"/>
      <c r="M663" s="2"/>
      <c r="N663" s="2"/>
    </row>
    <row r="664" spans="3:14">
      <c r="C664" s="71"/>
      <c r="D664" s="893" t="s">
        <v>1842</v>
      </c>
      <c r="E664" s="893"/>
      <c r="F664" s="893"/>
      <c r="G664" s="893"/>
      <c r="H664" s="893"/>
      <c r="I664" s="893"/>
      <c r="J664" s="893"/>
      <c r="K664" s="893"/>
      <c r="L664" s="893"/>
      <c r="M664" s="893"/>
      <c r="N664" s="2"/>
    </row>
    <row r="665" spans="3:14">
      <c r="C665" s="1"/>
      <c r="D665" s="893" t="s">
        <v>1843</v>
      </c>
      <c r="E665" s="893"/>
      <c r="F665" s="893"/>
      <c r="G665" s="893"/>
      <c r="H665" s="893"/>
      <c r="I665" s="893"/>
      <c r="J665" s="893"/>
      <c r="K665" s="893"/>
      <c r="L665" s="893"/>
      <c r="M665" s="893"/>
      <c r="N665" s="2"/>
    </row>
    <row r="666" spans="3:14">
      <c r="C666" s="1"/>
      <c r="D666" s="833"/>
      <c r="E666" s="833"/>
      <c r="F666" s="833"/>
      <c r="G666" s="833"/>
      <c r="H666" s="833"/>
      <c r="I666" s="833"/>
      <c r="J666" s="833"/>
      <c r="K666" s="833"/>
      <c r="L666" s="833"/>
      <c r="M666" s="833"/>
      <c r="N666" s="2"/>
    </row>
    <row r="667" spans="3:14" ht="15.75">
      <c r="C667" s="218" t="s">
        <v>1844</v>
      </c>
      <c r="D667" s="803" t="s">
        <v>460</v>
      </c>
      <c r="E667" s="831"/>
      <c r="F667" s="831"/>
      <c r="G667" s="220"/>
      <c r="H667" s="220"/>
      <c r="I667" s="220"/>
      <c r="J667" s="220"/>
      <c r="K667" s="220"/>
      <c r="L667" s="220"/>
      <c r="M667" s="221"/>
      <c r="N667" s="2"/>
    </row>
    <row r="668" spans="3:14" ht="15.75" thickBot="1">
      <c r="C668" s="1"/>
      <c r="D668" s="833"/>
      <c r="E668" s="833"/>
      <c r="F668" s="833"/>
      <c r="G668" s="833"/>
      <c r="H668" s="833"/>
      <c r="I668" s="833"/>
      <c r="J668" s="833"/>
      <c r="K668" s="833"/>
      <c r="L668" s="833"/>
      <c r="M668" s="833"/>
      <c r="N668" s="2"/>
    </row>
    <row r="669" spans="3:14" ht="53.25" thickBot="1">
      <c r="C669" s="1"/>
      <c r="D669" s="143" t="s">
        <v>205</v>
      </c>
      <c r="E669" s="110" t="s">
        <v>1831</v>
      </c>
      <c r="F669" s="110" t="s">
        <v>1832</v>
      </c>
      <c r="G669" s="110" t="s">
        <v>1833</v>
      </c>
      <c r="H669" s="111" t="s">
        <v>111</v>
      </c>
      <c r="I669" s="2"/>
      <c r="J669" s="2"/>
      <c r="K669" s="2"/>
      <c r="L669" s="2"/>
      <c r="M669" s="2"/>
      <c r="N669" s="2"/>
    </row>
    <row r="670" spans="3:14">
      <c r="C670" s="1"/>
      <c r="D670" s="162" t="s">
        <v>461</v>
      </c>
      <c r="E670" s="163">
        <v>1.4670000000000001</v>
      </c>
      <c r="F670" s="163">
        <v>1.4E-2</v>
      </c>
      <c r="G670" s="163">
        <v>0.01</v>
      </c>
      <c r="H670" s="164" t="s">
        <v>448</v>
      </c>
      <c r="I670" s="165"/>
      <c r="J670" s="165"/>
      <c r="K670" s="165"/>
      <c r="L670" s="2"/>
      <c r="M670" s="2"/>
      <c r="N670" s="2"/>
    </row>
    <row r="671" spans="3:14">
      <c r="C671" s="1"/>
      <c r="D671" s="145" t="s">
        <v>1834</v>
      </c>
      <c r="E671" s="827">
        <v>0.34300000000000003</v>
      </c>
      <c r="F671" s="827">
        <v>1.9E-2</v>
      </c>
      <c r="G671" s="827">
        <v>1.0999999999999999E-2</v>
      </c>
      <c r="H671" s="166" t="s">
        <v>448</v>
      </c>
      <c r="I671" s="165"/>
      <c r="J671" s="165"/>
      <c r="K671" s="165"/>
      <c r="L671" s="2"/>
      <c r="M671" s="2"/>
      <c r="N671" s="2"/>
    </row>
    <row r="672" spans="3:14" ht="15.75" thickBot="1">
      <c r="C672" s="1"/>
      <c r="D672" s="148" t="s">
        <v>1835</v>
      </c>
      <c r="E672" s="158">
        <v>0.47199999999999998</v>
      </c>
      <c r="F672" s="158">
        <v>1.9E-2</v>
      </c>
      <c r="G672" s="158">
        <v>1.7999999999999999E-2</v>
      </c>
      <c r="H672" s="167" t="s">
        <v>448</v>
      </c>
      <c r="I672" s="165"/>
      <c r="J672" s="165"/>
      <c r="K672" s="165"/>
      <c r="L672" s="2"/>
      <c r="M672" s="2"/>
      <c r="N672" s="2"/>
    </row>
    <row r="673" spans="3:37">
      <c r="C673" s="1"/>
      <c r="D673" s="162" t="s">
        <v>1847</v>
      </c>
      <c r="E673" s="163">
        <v>0.20233797801439316</v>
      </c>
      <c r="F673" s="168">
        <v>2.0038423175478401E-3</v>
      </c>
      <c r="G673" s="168">
        <v>1.5129681927794096E-3</v>
      </c>
      <c r="H673" s="164" t="s">
        <v>463</v>
      </c>
      <c r="I673" s="165"/>
      <c r="J673" s="165"/>
      <c r="K673" s="165"/>
      <c r="L673" s="2"/>
      <c r="M673" s="2"/>
      <c r="N673" s="2"/>
    </row>
    <row r="674" spans="3:37">
      <c r="C674" s="1"/>
      <c r="D674" s="15" t="s">
        <v>402</v>
      </c>
      <c r="E674" s="827">
        <v>2.3E-2</v>
      </c>
      <c r="F674" s="819">
        <v>1.8E-3</v>
      </c>
      <c r="G674" s="819">
        <v>5.9999999999999995E-4</v>
      </c>
      <c r="H674" s="169" t="s">
        <v>463</v>
      </c>
      <c r="I674" s="165"/>
      <c r="J674" s="165"/>
      <c r="K674" s="165"/>
      <c r="L674" s="2"/>
      <c r="M674" s="2"/>
      <c r="N674" s="2"/>
    </row>
    <row r="675" spans="3:37">
      <c r="C675" s="1"/>
      <c r="D675" s="15" t="s">
        <v>464</v>
      </c>
      <c r="E675" s="811">
        <v>5.8999999999999997E-2</v>
      </c>
      <c r="F675" s="814">
        <v>5.0000000000000001E-4</v>
      </c>
      <c r="G675" s="814">
        <v>4.0000000000000001E-3</v>
      </c>
      <c r="H675" s="169" t="s">
        <v>463</v>
      </c>
      <c r="I675" s="165"/>
      <c r="J675" s="165"/>
      <c r="K675" s="165"/>
      <c r="L675" s="2"/>
      <c r="M675" s="2"/>
      <c r="N675" s="2"/>
    </row>
    <row r="676" spans="3:37" ht="15.75" thickBot="1">
      <c r="C676" s="1"/>
      <c r="D676" s="148" t="s">
        <v>465</v>
      </c>
      <c r="E676" s="158">
        <v>1.3080000000000001</v>
      </c>
      <c r="F676" s="170">
        <v>0</v>
      </c>
      <c r="G676" s="125">
        <v>4.02E-2</v>
      </c>
      <c r="H676" s="167" t="s">
        <v>463</v>
      </c>
      <c r="I676" s="165"/>
      <c r="J676" s="165"/>
      <c r="K676" s="165"/>
      <c r="L676" s="2"/>
      <c r="M676" s="2"/>
      <c r="N676" s="2"/>
    </row>
    <row r="680" spans="3:37">
      <c r="C680" s="173"/>
      <c r="D680" s="173"/>
      <c r="E680" s="173"/>
      <c r="F680" s="173"/>
      <c r="G680" s="173"/>
      <c r="H680" s="173"/>
      <c r="I680" s="173"/>
      <c r="J680" s="173"/>
      <c r="K680" s="173"/>
      <c r="L680" s="173"/>
      <c r="M680" s="173"/>
      <c r="N680" s="173"/>
      <c r="O680" s="173"/>
      <c r="P680" s="173"/>
      <c r="Q680" s="173"/>
      <c r="R680" s="173"/>
      <c r="S680" s="173"/>
      <c r="T680" s="173"/>
      <c r="U680" s="173"/>
      <c r="V680" s="173"/>
      <c r="W680" s="173"/>
      <c r="X680" s="173"/>
      <c r="Y680" s="173"/>
      <c r="Z680" s="171"/>
      <c r="AA680" s="171"/>
      <c r="AB680" s="171"/>
      <c r="AC680" s="171"/>
      <c r="AD680" s="171"/>
      <c r="AE680" s="171"/>
      <c r="AF680" s="171"/>
      <c r="AG680" s="171"/>
      <c r="AH680" s="171"/>
      <c r="AI680" s="171"/>
      <c r="AJ680" s="171"/>
      <c r="AK680" s="171"/>
    </row>
    <row r="681" spans="3:37">
      <c r="C681" s="194"/>
      <c r="D681" s="194"/>
      <c r="E681" s="194"/>
      <c r="F681" s="1031" t="s">
        <v>374</v>
      </c>
      <c r="G681" s="1031"/>
      <c r="H681" s="1031"/>
      <c r="I681" s="1031"/>
      <c r="J681" s="1031" t="s">
        <v>375</v>
      </c>
      <c r="K681" s="1031"/>
      <c r="L681" s="1031"/>
      <c r="M681" s="1031"/>
      <c r="N681" s="1031" t="s">
        <v>379</v>
      </c>
      <c r="O681" s="1031"/>
      <c r="P681" s="1031"/>
      <c r="Q681" s="1031"/>
      <c r="R681" s="1031" t="s">
        <v>380</v>
      </c>
      <c r="S681" s="1031"/>
      <c r="T681" s="1031"/>
      <c r="U681" s="1031"/>
      <c r="V681" s="1031" t="s">
        <v>381</v>
      </c>
      <c r="W681" s="1031"/>
      <c r="X681" s="1031"/>
      <c r="Y681" s="1031"/>
      <c r="Z681" s="194"/>
      <c r="AA681" s="194"/>
      <c r="AB681" s="194"/>
      <c r="AC681" s="194"/>
      <c r="AD681" s="194"/>
      <c r="AE681" s="194"/>
      <c r="AF681" s="194"/>
      <c r="AG681" s="194"/>
      <c r="AH681" s="194"/>
      <c r="AI681" s="194"/>
      <c r="AJ681" s="194"/>
      <c r="AK681" s="194"/>
    </row>
    <row r="682" spans="3:37" ht="18">
      <c r="C682" s="195" t="s">
        <v>354</v>
      </c>
      <c r="D682" s="195" t="s">
        <v>369</v>
      </c>
      <c r="E682" s="195" t="s">
        <v>194</v>
      </c>
      <c r="F682" s="196" t="s">
        <v>413</v>
      </c>
      <c r="G682" s="196" t="s">
        <v>414</v>
      </c>
      <c r="H682" s="196" t="s">
        <v>415</v>
      </c>
      <c r="I682" s="196" t="s">
        <v>416</v>
      </c>
      <c r="J682" s="196" t="s">
        <v>413</v>
      </c>
      <c r="K682" s="196" t="s">
        <v>414</v>
      </c>
      <c r="L682" s="196" t="s">
        <v>415</v>
      </c>
      <c r="M682" s="196" t="s">
        <v>416</v>
      </c>
      <c r="N682" s="196" t="s">
        <v>413</v>
      </c>
      <c r="O682" s="196" t="s">
        <v>414</v>
      </c>
      <c r="P682" s="196" t="s">
        <v>415</v>
      </c>
      <c r="Q682" s="196" t="s">
        <v>416</v>
      </c>
      <c r="R682" s="196" t="s">
        <v>413</v>
      </c>
      <c r="S682" s="196" t="s">
        <v>414</v>
      </c>
      <c r="T682" s="196" t="s">
        <v>415</v>
      </c>
      <c r="U682" s="196" t="s">
        <v>416</v>
      </c>
      <c r="V682" s="196" t="s">
        <v>413</v>
      </c>
      <c r="W682" s="196" t="s">
        <v>414</v>
      </c>
      <c r="X682" s="196" t="s">
        <v>415</v>
      </c>
      <c r="Y682" s="196" t="s">
        <v>416</v>
      </c>
      <c r="Z682" s="194"/>
      <c r="AA682" s="194"/>
      <c r="AB682" s="194"/>
      <c r="AC682" s="194"/>
      <c r="AD682" s="194"/>
      <c r="AE682" s="194"/>
      <c r="AF682" s="194"/>
      <c r="AG682" s="194"/>
      <c r="AH682" s="194"/>
      <c r="AI682" s="194"/>
      <c r="AJ682" s="194"/>
      <c r="AK682" s="194"/>
    </row>
    <row r="683" spans="3:37">
      <c r="C683" s="1029" t="s">
        <v>1850</v>
      </c>
      <c r="D683" s="1029" t="s">
        <v>1851</v>
      </c>
      <c r="E683" s="196" t="s">
        <v>384</v>
      </c>
      <c r="F683" s="197">
        <v>0.11008999999999999</v>
      </c>
      <c r="G683" s="197">
        <v>0.10825</v>
      </c>
      <c r="H683" s="197">
        <v>4.3200000000000001E-6</v>
      </c>
      <c r="I683" s="197">
        <v>1.8400000000000001E-3</v>
      </c>
      <c r="J683" s="197">
        <v>0.13975000000000001</v>
      </c>
      <c r="K683" s="197">
        <v>0.13905000000000001</v>
      </c>
      <c r="L683" s="197">
        <v>3.2000000000000003E-4</v>
      </c>
      <c r="M683" s="197">
        <v>3.8000000000000002E-4</v>
      </c>
      <c r="N683" s="197">
        <v>0.13958000000000001</v>
      </c>
      <c r="O683" s="197">
        <v>0.13886999999999999</v>
      </c>
      <c r="P683" s="197">
        <v>3.2000000000000003E-4</v>
      </c>
      <c r="Q683" s="197">
        <v>3.8999999999999999E-4</v>
      </c>
      <c r="R683" s="197" t="s">
        <v>1852</v>
      </c>
      <c r="S683" s="197" t="s">
        <v>1852</v>
      </c>
      <c r="T683" s="197" t="s">
        <v>1852</v>
      </c>
      <c r="U683" s="197" t="s">
        <v>1852</v>
      </c>
      <c r="V683" s="197">
        <v>0</v>
      </c>
      <c r="W683" s="197">
        <v>0</v>
      </c>
      <c r="X683" s="197">
        <v>0</v>
      </c>
      <c r="Y683" s="197">
        <v>0</v>
      </c>
      <c r="Z683" s="178"/>
      <c r="AA683" s="178"/>
      <c r="AB683" s="178"/>
      <c r="AC683" s="178"/>
      <c r="AD683" s="178"/>
      <c r="AE683" s="178"/>
      <c r="AF683" s="178"/>
      <c r="AG683" s="178"/>
      <c r="AH683" s="178"/>
      <c r="AI683" s="178"/>
      <c r="AJ683" s="178"/>
      <c r="AK683" s="178"/>
    </row>
    <row r="684" spans="3:37">
      <c r="C684" s="1029"/>
      <c r="D684" s="1029"/>
      <c r="E684" s="196" t="s">
        <v>385</v>
      </c>
      <c r="F684" s="197">
        <v>0.17719000000000001</v>
      </c>
      <c r="G684" s="197">
        <v>0.17421</v>
      </c>
      <c r="H684" s="197">
        <v>1.0000000000000001E-5</v>
      </c>
      <c r="I684" s="197">
        <v>2.97E-3</v>
      </c>
      <c r="J684" s="197">
        <v>0.22490000000000002</v>
      </c>
      <c r="K684" s="197">
        <v>0.22378000000000001</v>
      </c>
      <c r="L684" s="197">
        <v>5.1000000000000004E-4</v>
      </c>
      <c r="M684" s="197">
        <v>6.0999999999999997E-4</v>
      </c>
      <c r="N684" s="197">
        <v>0.22463</v>
      </c>
      <c r="O684" s="197">
        <v>0.22348999999999999</v>
      </c>
      <c r="P684" s="197">
        <v>5.1000000000000004E-4</v>
      </c>
      <c r="Q684" s="197">
        <v>6.3000000000000003E-4</v>
      </c>
      <c r="R684" s="197" t="s">
        <v>1852</v>
      </c>
      <c r="S684" s="197" t="s">
        <v>1852</v>
      </c>
      <c r="T684" s="197" t="s">
        <v>1852</v>
      </c>
      <c r="U684" s="197" t="s">
        <v>1852</v>
      </c>
      <c r="V684" s="197">
        <v>0</v>
      </c>
      <c r="W684" s="197">
        <v>0</v>
      </c>
      <c r="X684" s="197">
        <v>0</v>
      </c>
      <c r="Y684" s="197">
        <v>0</v>
      </c>
      <c r="Z684" s="178"/>
      <c r="AA684" s="178"/>
      <c r="AB684" s="178"/>
      <c r="AC684" s="178"/>
      <c r="AD684" s="178"/>
      <c r="AE684" s="178"/>
      <c r="AF684" s="178"/>
      <c r="AG684" s="178"/>
      <c r="AH684" s="178"/>
      <c r="AI684" s="178"/>
      <c r="AJ684" s="178"/>
      <c r="AK684" s="178"/>
    </row>
    <row r="685" spans="3:37">
      <c r="C685" s="1029"/>
      <c r="D685" s="1029" t="s">
        <v>1854</v>
      </c>
      <c r="E685" s="196" t="s">
        <v>384</v>
      </c>
      <c r="F685" s="197">
        <v>0.13449</v>
      </c>
      <c r="G685" s="197">
        <v>0.13264999999999999</v>
      </c>
      <c r="H685" s="197">
        <v>4.3200000000000001E-6</v>
      </c>
      <c r="I685" s="197">
        <v>1.8400000000000001E-3</v>
      </c>
      <c r="J685" s="197">
        <v>0.15537999999999999</v>
      </c>
      <c r="K685" s="197">
        <v>0.15468000000000001</v>
      </c>
      <c r="L685" s="197">
        <v>3.2000000000000003E-4</v>
      </c>
      <c r="M685" s="197">
        <v>3.8000000000000002E-4</v>
      </c>
      <c r="N685" s="197">
        <v>0.15240999999999999</v>
      </c>
      <c r="O685" s="197">
        <v>0.15154999999999999</v>
      </c>
      <c r="P685" s="197">
        <v>2.7E-4</v>
      </c>
      <c r="Q685" s="197">
        <v>5.9000000000000003E-4</v>
      </c>
      <c r="R685" s="197">
        <v>2.9350000000000001E-2</v>
      </c>
      <c r="S685" s="197">
        <v>2.9180000000000001E-2</v>
      </c>
      <c r="T685" s="197">
        <v>9.0000000000000006E-5</v>
      </c>
      <c r="U685" s="197">
        <v>8.0000000000000007E-5</v>
      </c>
      <c r="V685" s="197">
        <v>0</v>
      </c>
      <c r="W685" s="197">
        <v>0</v>
      </c>
      <c r="X685" s="197">
        <v>0</v>
      </c>
      <c r="Y685" s="197">
        <v>0</v>
      </c>
      <c r="Z685" s="178"/>
      <c r="AA685" s="178"/>
      <c r="AB685" s="178"/>
      <c r="AC685" s="178"/>
      <c r="AD685" s="178"/>
      <c r="AE685" s="178"/>
      <c r="AF685" s="178"/>
      <c r="AG685" s="178"/>
      <c r="AH685" s="178"/>
      <c r="AI685" s="178"/>
      <c r="AJ685" s="178"/>
      <c r="AK685" s="178"/>
    </row>
    <row r="686" spans="3:37">
      <c r="C686" s="1029"/>
      <c r="D686" s="1029"/>
      <c r="E686" s="196" t="s">
        <v>385</v>
      </c>
      <c r="F686" s="197">
        <v>0.21647000000000002</v>
      </c>
      <c r="G686" s="197">
        <v>0.21349000000000001</v>
      </c>
      <c r="H686" s="197">
        <v>1.0000000000000001E-5</v>
      </c>
      <c r="I686" s="197">
        <v>2.97E-3</v>
      </c>
      <c r="J686" s="197">
        <v>0.25006</v>
      </c>
      <c r="K686" s="197">
        <v>0.24893999999999999</v>
      </c>
      <c r="L686" s="197">
        <v>5.1000000000000004E-4</v>
      </c>
      <c r="M686" s="197">
        <v>6.0999999999999997E-4</v>
      </c>
      <c r="N686" s="197">
        <v>0.24528</v>
      </c>
      <c r="O686" s="197">
        <v>0.24389</v>
      </c>
      <c r="P686" s="197">
        <v>4.4000000000000002E-4</v>
      </c>
      <c r="Q686" s="197">
        <v>9.5E-4</v>
      </c>
      <c r="R686" s="197">
        <v>4.7230000000000001E-2</v>
      </c>
      <c r="S686" s="197">
        <v>4.6960000000000002E-2</v>
      </c>
      <c r="T686" s="197">
        <v>1.3999999999999999E-4</v>
      </c>
      <c r="U686" s="197">
        <v>1.2999999999999999E-4</v>
      </c>
      <c r="V686" s="197">
        <v>0</v>
      </c>
      <c r="W686" s="197">
        <v>0</v>
      </c>
      <c r="X686" s="197">
        <v>0</v>
      </c>
      <c r="Y686" s="197">
        <v>0</v>
      </c>
      <c r="Z686" s="178"/>
      <c r="AA686" s="178"/>
      <c r="AB686" s="178"/>
      <c r="AC686" s="178"/>
      <c r="AD686" s="178"/>
      <c r="AE686" s="178"/>
      <c r="AF686" s="178"/>
      <c r="AG686" s="178"/>
      <c r="AH686" s="178"/>
      <c r="AI686" s="178"/>
      <c r="AJ686" s="178"/>
      <c r="AK686" s="178"/>
    </row>
    <row r="687" spans="3:37">
      <c r="C687" s="1029"/>
      <c r="D687" s="1029" t="s">
        <v>1855</v>
      </c>
      <c r="E687" s="196" t="s">
        <v>384</v>
      </c>
      <c r="F687" s="197">
        <v>0.14691000000000001</v>
      </c>
      <c r="G687" s="197">
        <v>0.14507</v>
      </c>
      <c r="H687" s="197">
        <v>4.3200000000000001E-6</v>
      </c>
      <c r="I687" s="197">
        <v>1.8400000000000001E-3</v>
      </c>
      <c r="J687" s="197">
        <v>0.18007999999999999</v>
      </c>
      <c r="K687" s="197">
        <v>0.17938000000000001</v>
      </c>
      <c r="L687" s="197">
        <v>3.2000000000000003E-4</v>
      </c>
      <c r="M687" s="197">
        <v>3.8000000000000002E-4</v>
      </c>
      <c r="N687" s="197">
        <v>0.16361999999999999</v>
      </c>
      <c r="O687" s="197">
        <v>0.16234999999999999</v>
      </c>
      <c r="P687" s="197">
        <v>1.6000000000000001E-4</v>
      </c>
      <c r="Q687" s="197">
        <v>1.1100000000000001E-3</v>
      </c>
      <c r="R687" s="197">
        <v>6.4000000000000001E-2</v>
      </c>
      <c r="S687" s="197">
        <v>6.3619999999999996E-2</v>
      </c>
      <c r="T687" s="197">
        <v>2.0000000000000001E-4</v>
      </c>
      <c r="U687" s="197">
        <v>1.8000000000000001E-4</v>
      </c>
      <c r="V687" s="197">
        <v>0</v>
      </c>
      <c r="W687" s="197">
        <v>0</v>
      </c>
      <c r="X687" s="197">
        <v>0</v>
      </c>
      <c r="Y687" s="197">
        <v>0</v>
      </c>
      <c r="Z687" s="178"/>
      <c r="AA687" s="178"/>
      <c r="AB687" s="178"/>
      <c r="AC687" s="178"/>
      <c r="AD687" s="178"/>
      <c r="AE687" s="178"/>
      <c r="AF687" s="178"/>
      <c r="AG687" s="178"/>
      <c r="AH687" s="178"/>
      <c r="AI687" s="178"/>
      <c r="AJ687" s="178"/>
      <c r="AK687" s="178"/>
    </row>
    <row r="688" spans="3:37">
      <c r="C688" s="1029"/>
      <c r="D688" s="1029"/>
      <c r="E688" s="196" t="s">
        <v>385</v>
      </c>
      <c r="F688" s="197">
        <v>0.23644000000000001</v>
      </c>
      <c r="G688" s="197">
        <v>0.23346</v>
      </c>
      <c r="H688" s="197">
        <v>1.0000000000000001E-5</v>
      </c>
      <c r="I688" s="197">
        <v>2.97E-3</v>
      </c>
      <c r="J688" s="197">
        <v>0.2898</v>
      </c>
      <c r="K688" s="197">
        <v>0.28867999999999999</v>
      </c>
      <c r="L688" s="197">
        <v>5.1000000000000004E-4</v>
      </c>
      <c r="M688" s="197">
        <v>6.0999999999999997E-4</v>
      </c>
      <c r="N688" s="197">
        <v>0.26332</v>
      </c>
      <c r="O688" s="197">
        <v>0.26128000000000001</v>
      </c>
      <c r="P688" s="197">
        <v>2.5999999999999998E-4</v>
      </c>
      <c r="Q688" s="197">
        <v>1.7799999999999999E-3</v>
      </c>
      <c r="R688" s="197">
        <v>0.10299</v>
      </c>
      <c r="S688" s="197">
        <v>0.10238</v>
      </c>
      <c r="T688" s="197">
        <v>3.2000000000000003E-4</v>
      </c>
      <c r="U688" s="197">
        <v>2.9E-4</v>
      </c>
      <c r="V688" s="197">
        <v>0</v>
      </c>
      <c r="W688" s="197">
        <v>0</v>
      </c>
      <c r="X688" s="197">
        <v>0</v>
      </c>
      <c r="Y688" s="197">
        <v>0</v>
      </c>
      <c r="Z688" s="178"/>
      <c r="AA688" s="178"/>
      <c r="AB688" s="178"/>
      <c r="AC688" s="178"/>
      <c r="AD688" s="178"/>
      <c r="AE688" s="178"/>
      <c r="AF688" s="178"/>
      <c r="AG688" s="178"/>
      <c r="AH688" s="178"/>
      <c r="AI688" s="178"/>
      <c r="AJ688" s="178"/>
      <c r="AK688" s="178"/>
    </row>
    <row r="689" spans="3:37">
      <c r="C689" s="1029"/>
      <c r="D689" s="1029" t="s">
        <v>1857</v>
      </c>
      <c r="E689" s="196" t="s">
        <v>384</v>
      </c>
      <c r="F689" s="197">
        <v>0.16533</v>
      </c>
      <c r="G689" s="197">
        <v>0.16349</v>
      </c>
      <c r="H689" s="197">
        <v>4.3200000000000001E-6</v>
      </c>
      <c r="I689" s="197">
        <v>1.8400000000000001E-3</v>
      </c>
      <c r="J689" s="197">
        <v>0.20791999999999999</v>
      </c>
      <c r="K689" s="197">
        <v>0.20721999999999999</v>
      </c>
      <c r="L689" s="197">
        <v>3.2000000000000003E-4</v>
      </c>
      <c r="M689" s="197">
        <v>3.8000000000000002E-4</v>
      </c>
      <c r="N689" s="197">
        <v>0.17537</v>
      </c>
      <c r="O689" s="197">
        <v>0.17379</v>
      </c>
      <c r="P689" s="197">
        <v>8.0000000000000007E-5</v>
      </c>
      <c r="Q689" s="197">
        <v>1.5E-3</v>
      </c>
      <c r="R689" s="197">
        <v>7.4290000000000009E-2</v>
      </c>
      <c r="S689" s="197">
        <v>7.3830000000000007E-2</v>
      </c>
      <c r="T689" s="197">
        <v>2.2000000000000001E-4</v>
      </c>
      <c r="U689" s="197">
        <v>2.4000000000000001E-4</v>
      </c>
      <c r="V689" s="197">
        <v>0</v>
      </c>
      <c r="W689" s="197">
        <v>0</v>
      </c>
      <c r="X689" s="197">
        <v>0</v>
      </c>
      <c r="Y689" s="197">
        <v>0</v>
      </c>
      <c r="Z689" s="178"/>
      <c r="AA689" s="178"/>
      <c r="AB689" s="178"/>
      <c r="AC689" s="178"/>
      <c r="AD689" s="178"/>
      <c r="AE689" s="178"/>
      <c r="AF689" s="178"/>
      <c r="AG689" s="178"/>
      <c r="AH689" s="178"/>
      <c r="AI689" s="178"/>
      <c r="AJ689" s="178"/>
      <c r="AK689" s="178"/>
    </row>
    <row r="690" spans="3:37">
      <c r="C690" s="1029"/>
      <c r="D690" s="1029"/>
      <c r="E690" s="196" t="s">
        <v>385</v>
      </c>
      <c r="F690" s="197">
        <v>0.2661</v>
      </c>
      <c r="G690" s="197">
        <v>0.26312000000000002</v>
      </c>
      <c r="H690" s="197">
        <v>1.0000000000000001E-5</v>
      </c>
      <c r="I690" s="197">
        <v>2.97E-3</v>
      </c>
      <c r="J690" s="197">
        <v>0.33461000000000002</v>
      </c>
      <c r="K690" s="197">
        <v>0.33349000000000001</v>
      </c>
      <c r="L690" s="197">
        <v>5.1000000000000004E-4</v>
      </c>
      <c r="M690" s="197">
        <v>6.0999999999999997E-4</v>
      </c>
      <c r="N690" s="197">
        <v>0.28223000000000004</v>
      </c>
      <c r="O690" s="197">
        <v>0.27968999999999999</v>
      </c>
      <c r="P690" s="197">
        <v>1.2999999999999999E-4</v>
      </c>
      <c r="Q690" s="197">
        <v>2.4099999999999998E-3</v>
      </c>
      <c r="R690" s="197">
        <v>0.11955</v>
      </c>
      <c r="S690" s="197">
        <v>0.11882</v>
      </c>
      <c r="T690" s="197">
        <v>3.5E-4</v>
      </c>
      <c r="U690" s="197">
        <v>3.8000000000000002E-4</v>
      </c>
      <c r="V690" s="197">
        <v>0</v>
      </c>
      <c r="W690" s="197">
        <v>0</v>
      </c>
      <c r="X690" s="197">
        <v>0</v>
      </c>
      <c r="Y690" s="197">
        <v>0</v>
      </c>
      <c r="Z690" s="178"/>
      <c r="AA690" s="178"/>
      <c r="AB690" s="178"/>
      <c r="AC690" s="178"/>
      <c r="AD690" s="178"/>
      <c r="AE690" s="178"/>
      <c r="AF690" s="178"/>
      <c r="AG690" s="178"/>
      <c r="AH690" s="178"/>
      <c r="AI690" s="178"/>
      <c r="AJ690" s="178"/>
      <c r="AK690" s="178"/>
    </row>
    <row r="691" spans="3:37">
      <c r="C691" s="1029"/>
      <c r="D691" s="1029" t="s">
        <v>1858</v>
      </c>
      <c r="E691" s="196" t="s">
        <v>384</v>
      </c>
      <c r="F691" s="197">
        <v>0.17524999999999999</v>
      </c>
      <c r="G691" s="197">
        <v>0.17341000000000001</v>
      </c>
      <c r="H691" s="197">
        <v>4.3200000000000001E-6</v>
      </c>
      <c r="I691" s="197">
        <v>1.8400000000000001E-3</v>
      </c>
      <c r="J691" s="197">
        <v>0.23658999999999999</v>
      </c>
      <c r="K691" s="197">
        <v>0.23588999999999999</v>
      </c>
      <c r="L691" s="197">
        <v>3.2000000000000003E-4</v>
      </c>
      <c r="M691" s="197">
        <v>3.8000000000000002E-4</v>
      </c>
      <c r="N691" s="197">
        <v>0.18909000000000001</v>
      </c>
      <c r="O691" s="197">
        <v>0.1875</v>
      </c>
      <c r="P691" s="197">
        <v>8.0000000000000007E-5</v>
      </c>
      <c r="Q691" s="197">
        <v>1.5100000000000001E-3</v>
      </c>
      <c r="R691" s="197">
        <v>7.5459999999999999E-2</v>
      </c>
      <c r="S691" s="197">
        <v>7.5020000000000003E-2</v>
      </c>
      <c r="T691" s="197">
        <v>2.3000000000000001E-4</v>
      </c>
      <c r="U691" s="197">
        <v>2.1000000000000001E-4</v>
      </c>
      <c r="V691" s="197" t="s">
        <v>1852</v>
      </c>
      <c r="W691" s="197" t="s">
        <v>1852</v>
      </c>
      <c r="X691" s="197" t="s">
        <v>1852</v>
      </c>
      <c r="Y691" s="197" t="s">
        <v>1852</v>
      </c>
      <c r="Z691" s="178"/>
      <c r="AA691" s="178"/>
      <c r="AB691" s="178"/>
      <c r="AC691" s="178"/>
      <c r="AD691" s="178"/>
      <c r="AE691" s="178"/>
      <c r="AF691" s="178"/>
      <c r="AG691" s="178"/>
      <c r="AH691" s="178"/>
      <c r="AI691" s="178"/>
      <c r="AJ691" s="178"/>
      <c r="AK691" s="178"/>
    </row>
    <row r="692" spans="3:37">
      <c r="C692" s="1029"/>
      <c r="D692" s="1029"/>
      <c r="E692" s="196" t="s">
        <v>385</v>
      </c>
      <c r="F692" s="197">
        <v>0.28205999999999998</v>
      </c>
      <c r="G692" s="197">
        <v>0.27907999999999999</v>
      </c>
      <c r="H692" s="197">
        <v>1.0000000000000001E-5</v>
      </c>
      <c r="I692" s="197">
        <v>2.97E-3</v>
      </c>
      <c r="J692" s="197">
        <v>0.38075000000000003</v>
      </c>
      <c r="K692" s="197">
        <v>0.37963000000000002</v>
      </c>
      <c r="L692" s="197">
        <v>5.1000000000000004E-4</v>
      </c>
      <c r="M692" s="197">
        <v>6.0999999999999997E-4</v>
      </c>
      <c r="N692" s="197">
        <v>0.30431999999999998</v>
      </c>
      <c r="O692" s="197">
        <v>0.30175999999999997</v>
      </c>
      <c r="P692" s="197">
        <v>1.2E-4</v>
      </c>
      <c r="Q692" s="197">
        <v>2.4399999999999999E-3</v>
      </c>
      <c r="R692" s="197">
        <v>0.12143999999999999</v>
      </c>
      <c r="S692" s="197">
        <v>0.12073</v>
      </c>
      <c r="T692" s="197">
        <v>3.6999999999999999E-4</v>
      </c>
      <c r="U692" s="197">
        <v>3.4000000000000002E-4</v>
      </c>
      <c r="V692" s="197" t="s">
        <v>1852</v>
      </c>
      <c r="W692" s="197" t="s">
        <v>1852</v>
      </c>
      <c r="X692" s="197" t="s">
        <v>1852</v>
      </c>
      <c r="Y692" s="197" t="s">
        <v>1852</v>
      </c>
      <c r="Z692" s="178"/>
      <c r="AA692" s="178"/>
      <c r="AB692" s="178"/>
      <c r="AC692" s="178"/>
      <c r="AD692" s="178"/>
      <c r="AE692" s="178"/>
      <c r="AF692" s="178"/>
      <c r="AG692" s="178"/>
      <c r="AH692" s="178"/>
      <c r="AI692" s="178"/>
      <c r="AJ692" s="178"/>
      <c r="AK692" s="178"/>
    </row>
    <row r="693" spans="3:37">
      <c r="C693" s="1029"/>
      <c r="D693" s="1029" t="s">
        <v>1859</v>
      </c>
      <c r="E693" s="196" t="s">
        <v>384</v>
      </c>
      <c r="F693" s="197">
        <v>0.21285999999999999</v>
      </c>
      <c r="G693" s="197">
        <v>0.21102000000000001</v>
      </c>
      <c r="H693" s="197">
        <v>4.3200000000000001E-6</v>
      </c>
      <c r="I693" s="197">
        <v>1.8400000000000001E-3</v>
      </c>
      <c r="J693" s="197">
        <v>0.33566000000000001</v>
      </c>
      <c r="K693" s="197">
        <v>0.33495999999999998</v>
      </c>
      <c r="L693" s="197">
        <v>3.2000000000000003E-4</v>
      </c>
      <c r="M693" s="197">
        <v>3.8000000000000002E-4</v>
      </c>
      <c r="N693" s="197">
        <v>0.26918999999999998</v>
      </c>
      <c r="O693" s="197">
        <v>0.26787</v>
      </c>
      <c r="P693" s="197">
        <v>1.4999999999999999E-4</v>
      </c>
      <c r="Q693" s="197">
        <v>1.17E-3</v>
      </c>
      <c r="R693" s="197">
        <v>9.6339999999999995E-2</v>
      </c>
      <c r="S693" s="197">
        <v>9.5769999999999994E-2</v>
      </c>
      <c r="T693" s="197">
        <v>2.9999999999999997E-4</v>
      </c>
      <c r="U693" s="197">
        <v>2.7E-4</v>
      </c>
      <c r="V693" s="197">
        <v>0</v>
      </c>
      <c r="W693" s="197">
        <v>0</v>
      </c>
      <c r="X693" s="197">
        <v>0</v>
      </c>
      <c r="Y693" s="197">
        <v>0</v>
      </c>
      <c r="Z693" s="178"/>
      <c r="AA693" s="178"/>
      <c r="AB693" s="178"/>
      <c r="AC693" s="178"/>
      <c r="AD693" s="178"/>
      <c r="AE693" s="178"/>
      <c r="AF693" s="178"/>
      <c r="AG693" s="178"/>
      <c r="AH693" s="178"/>
      <c r="AI693" s="178"/>
      <c r="AJ693" s="178"/>
      <c r="AK693" s="178"/>
    </row>
    <row r="694" spans="3:37">
      <c r="C694" s="1029"/>
      <c r="D694" s="1029"/>
      <c r="E694" s="196" t="s">
        <v>385</v>
      </c>
      <c r="F694" s="197">
        <v>0.34258</v>
      </c>
      <c r="G694" s="197">
        <v>0.33960000000000001</v>
      </c>
      <c r="H694" s="197">
        <v>1.0000000000000001E-5</v>
      </c>
      <c r="I694" s="197">
        <v>2.97E-3</v>
      </c>
      <c r="J694" s="197">
        <v>0.54019000000000006</v>
      </c>
      <c r="K694" s="197">
        <v>0.53907000000000005</v>
      </c>
      <c r="L694" s="197">
        <v>5.1000000000000004E-4</v>
      </c>
      <c r="M694" s="197">
        <v>6.0999999999999997E-4</v>
      </c>
      <c r="N694" s="197">
        <v>0.43321999999999999</v>
      </c>
      <c r="O694" s="197">
        <v>0.43108999999999997</v>
      </c>
      <c r="P694" s="197">
        <v>2.4000000000000001E-4</v>
      </c>
      <c r="Q694" s="197">
        <v>1.89E-3</v>
      </c>
      <c r="R694" s="197">
        <v>0.15503999999999998</v>
      </c>
      <c r="S694" s="197">
        <v>0.15412999999999999</v>
      </c>
      <c r="T694" s="197">
        <v>4.6999999999999999E-4</v>
      </c>
      <c r="U694" s="197">
        <v>4.4000000000000002E-4</v>
      </c>
      <c r="V694" s="197">
        <v>0</v>
      </c>
      <c r="W694" s="197">
        <v>0</v>
      </c>
      <c r="X694" s="197">
        <v>0</v>
      </c>
      <c r="Y694" s="197">
        <v>0</v>
      </c>
      <c r="Z694" s="178"/>
      <c r="AA694" s="178"/>
      <c r="AB694" s="178"/>
      <c r="AC694" s="178"/>
      <c r="AD694" s="178"/>
      <c r="AE694" s="178"/>
      <c r="AF694" s="178"/>
      <c r="AG694" s="178"/>
      <c r="AH694" s="178"/>
      <c r="AI694" s="178"/>
      <c r="AJ694" s="178"/>
      <c r="AK694" s="178"/>
    </row>
    <row r="695" spans="3:37">
      <c r="C695" s="1029"/>
      <c r="D695" s="1029" t="s">
        <v>1862</v>
      </c>
      <c r="E695" s="196" t="s">
        <v>384</v>
      </c>
      <c r="F695" s="197">
        <v>0.17332</v>
      </c>
      <c r="G695" s="197">
        <v>0.17147999999999999</v>
      </c>
      <c r="H695" s="197">
        <v>4.3200000000000001E-6</v>
      </c>
      <c r="I695" s="197">
        <v>1.8400000000000001E-3</v>
      </c>
      <c r="J695" s="197">
        <v>0.246</v>
      </c>
      <c r="K695" s="197">
        <v>0.24529999999999999</v>
      </c>
      <c r="L695" s="197">
        <v>3.2000000000000003E-4</v>
      </c>
      <c r="M695" s="197">
        <v>3.8000000000000002E-4</v>
      </c>
      <c r="N695" s="197">
        <v>0.23441000000000001</v>
      </c>
      <c r="O695" s="197">
        <v>0.23352999999999999</v>
      </c>
      <c r="P695" s="197">
        <v>2.7E-4</v>
      </c>
      <c r="Q695" s="197">
        <v>6.0999999999999997E-4</v>
      </c>
      <c r="R695" s="197">
        <v>7.9810000000000006E-2</v>
      </c>
      <c r="S695" s="197">
        <v>7.9350000000000004E-2</v>
      </c>
      <c r="T695" s="197">
        <v>2.4000000000000001E-4</v>
      </c>
      <c r="U695" s="197">
        <v>2.2000000000000001E-4</v>
      </c>
      <c r="V695" s="197">
        <v>0</v>
      </c>
      <c r="W695" s="197">
        <v>0</v>
      </c>
      <c r="X695" s="197">
        <v>0</v>
      </c>
      <c r="Y695" s="197">
        <v>0</v>
      </c>
      <c r="Z695" s="178"/>
      <c r="AA695" s="178"/>
      <c r="AB695" s="178"/>
      <c r="AC695" s="178"/>
      <c r="AD695" s="178"/>
      <c r="AE695" s="178"/>
      <c r="AF695" s="178"/>
      <c r="AG695" s="178"/>
      <c r="AH695" s="178"/>
      <c r="AI695" s="178"/>
      <c r="AJ695" s="178"/>
      <c r="AK695" s="178"/>
    </row>
    <row r="696" spans="3:37">
      <c r="C696" s="1029"/>
      <c r="D696" s="1029"/>
      <c r="E696" s="196" t="s">
        <v>385</v>
      </c>
      <c r="F696" s="197">
        <v>0.27894999999999998</v>
      </c>
      <c r="G696" s="197">
        <v>0.27596999999999999</v>
      </c>
      <c r="H696" s="197">
        <v>1.0000000000000001E-5</v>
      </c>
      <c r="I696" s="197">
        <v>2.97E-3</v>
      </c>
      <c r="J696" s="197">
        <v>0.39590000000000003</v>
      </c>
      <c r="K696" s="197">
        <v>0.39478000000000002</v>
      </c>
      <c r="L696" s="197">
        <v>5.1000000000000004E-4</v>
      </c>
      <c r="M696" s="197">
        <v>6.0999999999999997E-4</v>
      </c>
      <c r="N696" s="197">
        <v>0.37723999999999996</v>
      </c>
      <c r="O696" s="197">
        <v>0.37581999999999999</v>
      </c>
      <c r="P696" s="197">
        <v>4.2999999999999999E-4</v>
      </c>
      <c r="Q696" s="197">
        <v>9.8999999999999999E-4</v>
      </c>
      <c r="R696" s="197">
        <v>0.12845000000000001</v>
      </c>
      <c r="S696" s="197">
        <v>0.12770000000000001</v>
      </c>
      <c r="T696" s="197">
        <v>3.8999999999999999E-4</v>
      </c>
      <c r="U696" s="197">
        <v>3.6000000000000002E-4</v>
      </c>
      <c r="V696" s="197">
        <v>0</v>
      </c>
      <c r="W696" s="197">
        <v>0</v>
      </c>
      <c r="X696" s="197">
        <v>0</v>
      </c>
      <c r="Y696" s="197">
        <v>0</v>
      </c>
      <c r="Z696" s="178"/>
      <c r="AA696" s="178"/>
      <c r="AB696" s="178"/>
      <c r="AC696" s="178"/>
      <c r="AD696" s="178"/>
      <c r="AE696" s="178"/>
      <c r="AF696" s="178"/>
      <c r="AG696" s="178"/>
      <c r="AH696" s="178"/>
      <c r="AI696" s="178"/>
      <c r="AJ696" s="178"/>
      <c r="AK696" s="178"/>
    </row>
    <row r="697" spans="3:37">
      <c r="C697" s="1029"/>
      <c r="D697" s="1029" t="s">
        <v>1863</v>
      </c>
      <c r="E697" s="196" t="s">
        <v>384</v>
      </c>
      <c r="F697" s="197">
        <v>0.20257</v>
      </c>
      <c r="G697" s="197">
        <v>0.20072999999999999</v>
      </c>
      <c r="H697" s="197">
        <v>4.3200000000000001E-6</v>
      </c>
      <c r="I697" s="197">
        <v>1.8400000000000001E-3</v>
      </c>
      <c r="J697" s="197">
        <v>0.23663000000000001</v>
      </c>
      <c r="K697" s="197">
        <v>0.23593</v>
      </c>
      <c r="L697" s="197">
        <v>3.2000000000000003E-4</v>
      </c>
      <c r="M697" s="197">
        <v>3.8000000000000002E-4</v>
      </c>
      <c r="N697" s="197">
        <v>0.20924999999999999</v>
      </c>
      <c r="O697" s="197">
        <v>0.20762</v>
      </c>
      <c r="P697" s="197">
        <v>6.9999999999999994E-5</v>
      </c>
      <c r="Q697" s="197">
        <v>1.56E-3</v>
      </c>
      <c r="R697" s="197">
        <v>7.6259999999999994E-2</v>
      </c>
      <c r="S697" s="197">
        <v>7.5810000000000002E-2</v>
      </c>
      <c r="T697" s="197">
        <v>2.3000000000000001E-4</v>
      </c>
      <c r="U697" s="197">
        <v>2.2000000000000001E-4</v>
      </c>
      <c r="V697" s="197">
        <v>0</v>
      </c>
      <c r="W697" s="197">
        <v>0</v>
      </c>
      <c r="X697" s="197">
        <v>0</v>
      </c>
      <c r="Y697" s="197">
        <v>0</v>
      </c>
      <c r="Z697" s="178"/>
      <c r="AA697" s="178"/>
      <c r="AB697" s="178"/>
      <c r="AC697" s="178"/>
      <c r="AD697" s="178"/>
      <c r="AE697" s="178"/>
      <c r="AF697" s="178"/>
      <c r="AG697" s="178"/>
      <c r="AH697" s="178"/>
      <c r="AI697" s="178"/>
      <c r="AJ697" s="178"/>
      <c r="AK697" s="178"/>
    </row>
    <row r="698" spans="3:37">
      <c r="C698" s="1029"/>
      <c r="D698" s="1029"/>
      <c r="E698" s="196" t="s">
        <v>385</v>
      </c>
      <c r="F698" s="197">
        <v>0.32601999999999998</v>
      </c>
      <c r="G698" s="197">
        <v>0.32303999999999999</v>
      </c>
      <c r="H698" s="197">
        <v>1.0000000000000001E-5</v>
      </c>
      <c r="I698" s="197">
        <v>2.97E-3</v>
      </c>
      <c r="J698" s="197">
        <v>0.38081000000000004</v>
      </c>
      <c r="K698" s="197">
        <v>0.37969000000000003</v>
      </c>
      <c r="L698" s="197">
        <v>5.1000000000000004E-4</v>
      </c>
      <c r="M698" s="197">
        <v>6.0999999999999997E-4</v>
      </c>
      <c r="N698" s="197">
        <v>0.33674999999999999</v>
      </c>
      <c r="O698" s="197">
        <v>0.33412999999999998</v>
      </c>
      <c r="P698" s="197">
        <v>1.1E-4</v>
      </c>
      <c r="Q698" s="197">
        <v>2.5100000000000001E-3</v>
      </c>
      <c r="R698" s="197">
        <v>0.12272999999999999</v>
      </c>
      <c r="S698" s="197">
        <v>0.122</v>
      </c>
      <c r="T698" s="197">
        <v>3.6999999999999999E-4</v>
      </c>
      <c r="U698" s="197">
        <v>3.6000000000000002E-4</v>
      </c>
      <c r="V698" s="197">
        <v>0</v>
      </c>
      <c r="W698" s="197">
        <v>0</v>
      </c>
      <c r="X698" s="197">
        <v>0</v>
      </c>
      <c r="Y698" s="197">
        <v>0</v>
      </c>
      <c r="Z698" s="178"/>
      <c r="AA698" s="178"/>
      <c r="AB698" s="178"/>
      <c r="AC698" s="178"/>
      <c r="AD698" s="178"/>
      <c r="AE698" s="178"/>
      <c r="AF698" s="178"/>
      <c r="AG698" s="178"/>
      <c r="AH698" s="178"/>
      <c r="AI698" s="178"/>
      <c r="AJ698" s="178"/>
      <c r="AK698" s="178"/>
    </row>
    <row r="699" spans="3:37">
      <c r="C699" s="1029"/>
      <c r="D699" s="1029" t="s">
        <v>1865</v>
      </c>
      <c r="E699" s="196" t="s">
        <v>384</v>
      </c>
      <c r="F699" s="197">
        <v>0.18101</v>
      </c>
      <c r="G699" s="197">
        <v>0.17917</v>
      </c>
      <c r="H699" s="197">
        <v>4.3200000000000001E-6</v>
      </c>
      <c r="I699" s="197">
        <v>1.8400000000000001E-3</v>
      </c>
      <c r="J699" s="197">
        <v>0.19939999999999999</v>
      </c>
      <c r="K699" s="197">
        <v>0.19869999999999999</v>
      </c>
      <c r="L699" s="197">
        <v>3.2000000000000003E-4</v>
      </c>
      <c r="M699" s="197">
        <v>3.8000000000000002E-4</v>
      </c>
      <c r="N699" s="197">
        <v>0.18609999999999999</v>
      </c>
      <c r="O699" s="197">
        <v>0.18457000000000001</v>
      </c>
      <c r="P699" s="197">
        <v>9.0000000000000006E-5</v>
      </c>
      <c r="Q699" s="197">
        <v>1.4400000000000001E-3</v>
      </c>
      <c r="R699" s="197" t="s">
        <v>1852</v>
      </c>
      <c r="S699" s="197" t="s">
        <v>1852</v>
      </c>
      <c r="T699" s="197" t="s">
        <v>1852</v>
      </c>
      <c r="U699" s="197" t="s">
        <v>1852</v>
      </c>
      <c r="V699" s="197">
        <v>0</v>
      </c>
      <c r="W699" s="197">
        <v>0</v>
      </c>
      <c r="X699" s="197">
        <v>0</v>
      </c>
      <c r="Y699" s="197">
        <v>0</v>
      </c>
      <c r="Z699" s="178"/>
      <c r="AA699" s="178"/>
      <c r="AB699" s="178"/>
      <c r="AC699" s="178"/>
      <c r="AD699" s="178"/>
      <c r="AE699" s="178"/>
      <c r="AF699" s="178"/>
      <c r="AG699" s="178"/>
      <c r="AH699" s="178"/>
      <c r="AI699" s="178"/>
      <c r="AJ699" s="178"/>
      <c r="AK699" s="178"/>
    </row>
    <row r="700" spans="3:37">
      <c r="C700" s="1029"/>
      <c r="D700" s="1029"/>
      <c r="E700" s="196" t="s">
        <v>385</v>
      </c>
      <c r="F700" s="197">
        <v>0.29132999999999998</v>
      </c>
      <c r="G700" s="197">
        <v>0.28835</v>
      </c>
      <c r="H700" s="197">
        <v>1.0000000000000001E-5</v>
      </c>
      <c r="I700" s="197">
        <v>2.97E-3</v>
      </c>
      <c r="J700" s="197">
        <v>0.32089000000000001</v>
      </c>
      <c r="K700" s="197">
        <v>0.31977</v>
      </c>
      <c r="L700" s="197">
        <v>5.1000000000000004E-4</v>
      </c>
      <c r="M700" s="197">
        <v>6.0999999999999997E-4</v>
      </c>
      <c r="N700" s="197">
        <v>0.29951</v>
      </c>
      <c r="O700" s="197">
        <v>0.29704000000000003</v>
      </c>
      <c r="P700" s="197">
        <v>1.4999999999999999E-4</v>
      </c>
      <c r="Q700" s="197">
        <v>2.32E-3</v>
      </c>
      <c r="R700" s="197" t="s">
        <v>1852</v>
      </c>
      <c r="S700" s="197" t="s">
        <v>1852</v>
      </c>
      <c r="T700" s="197" t="s">
        <v>1852</v>
      </c>
      <c r="U700" s="197" t="s">
        <v>1852</v>
      </c>
      <c r="V700" s="197">
        <v>0</v>
      </c>
      <c r="W700" s="197">
        <v>0</v>
      </c>
      <c r="X700" s="197">
        <v>0</v>
      </c>
      <c r="Y700" s="197">
        <v>0</v>
      </c>
      <c r="Z700" s="194"/>
      <c r="AA700" s="194"/>
      <c r="AB700" s="194"/>
      <c r="AC700" s="194"/>
      <c r="AD700" s="194"/>
      <c r="AE700" s="194"/>
      <c r="AF700" s="194"/>
      <c r="AG700" s="194"/>
      <c r="AH700" s="194"/>
      <c r="AI700" s="194"/>
      <c r="AJ700" s="194"/>
      <c r="AK700" s="194"/>
    </row>
    <row r="701" spans="3:37">
      <c r="C701" s="194"/>
      <c r="D701" s="194"/>
      <c r="E701" s="194"/>
      <c r="F701" s="194"/>
      <c r="G701" s="194"/>
      <c r="H701" s="194"/>
      <c r="I701" s="194"/>
      <c r="J701" s="194"/>
      <c r="K701" s="194"/>
      <c r="L701" s="194"/>
      <c r="M701" s="194"/>
      <c r="N701" s="194"/>
      <c r="O701" s="194"/>
      <c r="P701" s="194"/>
      <c r="Q701" s="194"/>
      <c r="R701" s="174"/>
      <c r="S701" s="174"/>
      <c r="T701" s="174"/>
      <c r="U701" s="174"/>
      <c r="V701" s="194"/>
      <c r="W701" s="194"/>
      <c r="X701" s="194"/>
      <c r="Y701" s="194"/>
      <c r="Z701" s="194"/>
      <c r="AA701" s="194"/>
      <c r="AB701" s="194"/>
      <c r="AC701" s="194"/>
      <c r="AD701" s="194"/>
      <c r="AE701" s="194"/>
      <c r="AF701" s="194"/>
      <c r="AG701" s="194"/>
      <c r="AH701" s="194"/>
      <c r="AI701" s="194"/>
      <c r="AJ701" s="194"/>
      <c r="AK701" s="194"/>
    </row>
    <row r="702" spans="3:37">
      <c r="C702" s="194"/>
      <c r="D702" s="194"/>
      <c r="E702" s="194"/>
      <c r="F702" s="194"/>
      <c r="G702" s="194"/>
      <c r="H702" s="194"/>
      <c r="I702" s="194"/>
      <c r="J702" s="194"/>
      <c r="K702" s="194"/>
      <c r="L702" s="194"/>
      <c r="M702" s="194"/>
      <c r="N702" s="194"/>
      <c r="O702" s="194"/>
      <c r="P702" s="194"/>
      <c r="Q702" s="194"/>
      <c r="R702" s="194"/>
      <c r="S702" s="194"/>
      <c r="T702" s="194"/>
      <c r="U702" s="194"/>
      <c r="V702" s="194"/>
      <c r="W702" s="194"/>
      <c r="X702" s="194"/>
      <c r="Y702" s="194"/>
      <c r="Z702" s="194"/>
      <c r="AA702" s="194"/>
      <c r="AB702" s="194"/>
      <c r="AC702" s="194"/>
      <c r="AD702" s="194"/>
      <c r="AE702" s="194"/>
      <c r="AF702" s="194"/>
      <c r="AG702" s="194"/>
      <c r="AH702" s="194"/>
      <c r="AI702" s="194"/>
      <c r="AJ702" s="194"/>
      <c r="AK702" s="194"/>
    </row>
    <row r="703" spans="3:37">
      <c r="C703" s="194"/>
      <c r="D703" s="194"/>
      <c r="E703" s="194"/>
      <c r="F703" s="1031" t="s">
        <v>374</v>
      </c>
      <c r="G703" s="1031"/>
      <c r="H703" s="1031"/>
      <c r="I703" s="1031"/>
      <c r="J703" s="1031" t="s">
        <v>375</v>
      </c>
      <c r="K703" s="1031"/>
      <c r="L703" s="1031"/>
      <c r="M703" s="1031"/>
      <c r="N703" s="1031" t="s">
        <v>376</v>
      </c>
      <c r="O703" s="1031"/>
      <c r="P703" s="1031"/>
      <c r="Q703" s="1031"/>
      <c r="R703" s="1040" t="s">
        <v>377</v>
      </c>
      <c r="S703" s="1040"/>
      <c r="T703" s="1040"/>
      <c r="U703" s="1040"/>
      <c r="V703" s="1031" t="s">
        <v>378</v>
      </c>
      <c r="W703" s="1031"/>
      <c r="X703" s="1031"/>
      <c r="Y703" s="1031"/>
      <c r="Z703" s="1031" t="s">
        <v>379</v>
      </c>
      <c r="AA703" s="1031"/>
      <c r="AB703" s="1031"/>
      <c r="AC703" s="1031"/>
      <c r="AD703" s="1031" t="s">
        <v>380</v>
      </c>
      <c r="AE703" s="1031"/>
      <c r="AF703" s="1031"/>
      <c r="AG703" s="1031"/>
      <c r="AH703" s="1031" t="s">
        <v>381</v>
      </c>
      <c r="AI703" s="1031"/>
      <c r="AJ703" s="1031"/>
      <c r="AK703" s="1031"/>
    </row>
    <row r="704" spans="3:37" ht="18">
      <c r="C704" s="195" t="s">
        <v>354</v>
      </c>
      <c r="D704" s="195" t="s">
        <v>369</v>
      </c>
      <c r="E704" s="195" t="s">
        <v>194</v>
      </c>
      <c r="F704" s="196" t="s">
        <v>413</v>
      </c>
      <c r="G704" s="196" t="s">
        <v>414</v>
      </c>
      <c r="H704" s="196" t="s">
        <v>415</v>
      </c>
      <c r="I704" s="196" t="s">
        <v>416</v>
      </c>
      <c r="J704" s="196" t="s">
        <v>413</v>
      </c>
      <c r="K704" s="196" t="s">
        <v>414</v>
      </c>
      <c r="L704" s="196" t="s">
        <v>415</v>
      </c>
      <c r="M704" s="196" t="s">
        <v>416</v>
      </c>
      <c r="N704" s="196" t="s">
        <v>413</v>
      </c>
      <c r="O704" s="196" t="s">
        <v>414</v>
      </c>
      <c r="P704" s="196" t="s">
        <v>415</v>
      </c>
      <c r="Q704" s="196" t="s">
        <v>416</v>
      </c>
      <c r="R704" s="175" t="s">
        <v>413</v>
      </c>
      <c r="S704" s="175" t="s">
        <v>414</v>
      </c>
      <c r="T704" s="175" t="s">
        <v>415</v>
      </c>
      <c r="U704" s="175" t="s">
        <v>416</v>
      </c>
      <c r="V704" s="196" t="s">
        <v>413</v>
      </c>
      <c r="W704" s="196" t="s">
        <v>414</v>
      </c>
      <c r="X704" s="196" t="s">
        <v>415</v>
      </c>
      <c r="Y704" s="196" t="s">
        <v>416</v>
      </c>
      <c r="Z704" s="196" t="s">
        <v>413</v>
      </c>
      <c r="AA704" s="196" t="s">
        <v>414</v>
      </c>
      <c r="AB704" s="196" t="s">
        <v>415</v>
      </c>
      <c r="AC704" s="196" t="s">
        <v>416</v>
      </c>
      <c r="AD704" s="196" t="s">
        <v>413</v>
      </c>
      <c r="AE704" s="196" t="s">
        <v>414</v>
      </c>
      <c r="AF704" s="196" t="s">
        <v>415</v>
      </c>
      <c r="AG704" s="196" t="s">
        <v>416</v>
      </c>
      <c r="AH704" s="196" t="s">
        <v>413</v>
      </c>
      <c r="AI704" s="196" t="s">
        <v>414</v>
      </c>
      <c r="AJ704" s="196" t="s">
        <v>415</v>
      </c>
      <c r="AK704" s="196" t="s">
        <v>416</v>
      </c>
    </row>
    <row r="705" spans="3:37">
      <c r="C705" s="1029" t="s">
        <v>382</v>
      </c>
      <c r="D705" s="1029" t="s">
        <v>383</v>
      </c>
      <c r="E705" s="196" t="s">
        <v>384</v>
      </c>
      <c r="F705" s="197">
        <v>0.14208000000000001</v>
      </c>
      <c r="G705" s="197">
        <v>0.14024</v>
      </c>
      <c r="H705" s="197">
        <v>4.3200000000000001E-6</v>
      </c>
      <c r="I705" s="197">
        <v>1.8400000000000001E-3</v>
      </c>
      <c r="J705" s="197">
        <v>0.15371000000000001</v>
      </c>
      <c r="K705" s="197">
        <v>0.15301000000000001</v>
      </c>
      <c r="L705" s="197">
        <v>3.2000000000000003E-4</v>
      </c>
      <c r="M705" s="197">
        <v>3.8000000000000002E-4</v>
      </c>
      <c r="N705" s="197">
        <v>0.1052</v>
      </c>
      <c r="O705" s="197">
        <v>0.10409</v>
      </c>
      <c r="P705" s="197">
        <v>2.1000000000000001E-4</v>
      </c>
      <c r="Q705" s="197">
        <v>8.9999999999999998E-4</v>
      </c>
      <c r="R705" s="172"/>
      <c r="S705" s="172"/>
      <c r="T705" s="172"/>
      <c r="U705" s="172"/>
      <c r="V705" s="176"/>
      <c r="W705" s="176"/>
      <c r="X705" s="176"/>
      <c r="Y705" s="176"/>
      <c r="Z705" s="206">
        <v>0.14957999999999999</v>
      </c>
      <c r="AA705" s="206">
        <v>0.14846999999999999</v>
      </c>
      <c r="AB705" s="206">
        <v>2.1000000000000001E-4</v>
      </c>
      <c r="AC705" s="206">
        <v>8.9999999999999998E-4</v>
      </c>
      <c r="AD705" s="206">
        <v>2.9350000000000001E-2</v>
      </c>
      <c r="AE705" s="206">
        <v>2.9180000000000001E-2</v>
      </c>
      <c r="AF705" s="206">
        <v>9.0000000000000006E-5</v>
      </c>
      <c r="AG705" s="206">
        <v>8.0000000000000007E-5</v>
      </c>
      <c r="AH705" s="177">
        <v>0</v>
      </c>
      <c r="AI705" s="177">
        <v>0</v>
      </c>
      <c r="AJ705" s="177">
        <v>0</v>
      </c>
      <c r="AK705" s="177">
        <v>0</v>
      </c>
    </row>
    <row r="706" spans="3:37">
      <c r="C706" s="1029"/>
      <c r="D706" s="1029"/>
      <c r="E706" s="196" t="s">
        <v>385</v>
      </c>
      <c r="F706" s="197">
        <v>0.22868000000000002</v>
      </c>
      <c r="G706" s="197">
        <v>0.22570000000000001</v>
      </c>
      <c r="H706" s="197">
        <v>1.0000000000000001E-5</v>
      </c>
      <c r="I706" s="197">
        <v>2.97E-3</v>
      </c>
      <c r="J706" s="197">
        <v>0.24736</v>
      </c>
      <c r="K706" s="197">
        <v>0.24623999999999999</v>
      </c>
      <c r="L706" s="197">
        <v>5.1000000000000004E-4</v>
      </c>
      <c r="M706" s="197">
        <v>6.0999999999999997E-4</v>
      </c>
      <c r="N706" s="197">
        <v>0.16930000000000001</v>
      </c>
      <c r="O706" s="197">
        <v>0.16752</v>
      </c>
      <c r="P706" s="197">
        <v>3.3E-4</v>
      </c>
      <c r="Q706" s="197">
        <v>1.4499999999999999E-3</v>
      </c>
      <c r="R706" s="172"/>
      <c r="S706" s="172"/>
      <c r="T706" s="172"/>
      <c r="U706" s="172"/>
      <c r="V706" s="176"/>
      <c r="W706" s="176"/>
      <c r="X706" s="176"/>
      <c r="Y706" s="176"/>
      <c r="Z706" s="206">
        <v>0.24072000000000002</v>
      </c>
      <c r="AA706" s="206">
        <v>0.23894000000000001</v>
      </c>
      <c r="AB706" s="206">
        <v>3.3E-4</v>
      </c>
      <c r="AC706" s="206">
        <v>1.4499999999999999E-3</v>
      </c>
      <c r="AD706" s="206">
        <v>4.7230000000000001E-2</v>
      </c>
      <c r="AE706" s="206">
        <v>4.6960000000000002E-2</v>
      </c>
      <c r="AF706" s="206">
        <v>1.3999999999999999E-4</v>
      </c>
      <c r="AG706" s="206">
        <v>1.2999999999999999E-4</v>
      </c>
      <c r="AH706" s="177">
        <v>0</v>
      </c>
      <c r="AI706" s="177">
        <v>0</v>
      </c>
      <c r="AJ706" s="177">
        <v>0</v>
      </c>
      <c r="AK706" s="177">
        <v>0</v>
      </c>
    </row>
    <row r="707" spans="3:37">
      <c r="C707" s="1029"/>
      <c r="D707" s="1029" t="s">
        <v>386</v>
      </c>
      <c r="E707" s="196" t="s">
        <v>384</v>
      </c>
      <c r="F707" s="197">
        <v>0.17061000000000001</v>
      </c>
      <c r="G707" s="197">
        <v>0.16877</v>
      </c>
      <c r="H707" s="197">
        <v>4.3200000000000001E-6</v>
      </c>
      <c r="I707" s="197">
        <v>1.8400000000000001E-3</v>
      </c>
      <c r="J707" s="197">
        <v>0.19228000000000001</v>
      </c>
      <c r="K707" s="197">
        <v>0.19158</v>
      </c>
      <c r="L707" s="197">
        <v>3.2000000000000003E-4</v>
      </c>
      <c r="M707" s="197">
        <v>3.8000000000000002E-4</v>
      </c>
      <c r="N707" s="197">
        <v>0.10895000000000001</v>
      </c>
      <c r="O707" s="197">
        <v>0.10764</v>
      </c>
      <c r="P707" s="197">
        <v>1.4999999999999999E-4</v>
      </c>
      <c r="Q707" s="197">
        <v>1.16E-3</v>
      </c>
      <c r="R707" s="839">
        <v>0.16175999999999999</v>
      </c>
      <c r="S707" s="839">
        <v>0.15972</v>
      </c>
      <c r="T707" s="839">
        <v>1.5900000000000001E-3</v>
      </c>
      <c r="U707" s="839">
        <v>4.4999999999999999E-4</v>
      </c>
      <c r="V707" s="206">
        <v>0.18065999999999999</v>
      </c>
      <c r="W707" s="206">
        <v>0.18015999999999999</v>
      </c>
      <c r="X707" s="206">
        <v>5.0000000000000002E-5</v>
      </c>
      <c r="Y707" s="206">
        <v>4.4999999999999999E-4</v>
      </c>
      <c r="Z707" s="206">
        <v>0.18071000000000001</v>
      </c>
      <c r="AA707" s="206">
        <v>0.1794</v>
      </c>
      <c r="AB707" s="206">
        <v>1.4999999999999999E-4</v>
      </c>
      <c r="AC707" s="206">
        <v>1.16E-3</v>
      </c>
      <c r="AD707" s="206">
        <v>7.0830000000000004E-2</v>
      </c>
      <c r="AE707" s="206">
        <v>7.0400000000000004E-2</v>
      </c>
      <c r="AF707" s="206">
        <v>2.1000000000000001E-4</v>
      </c>
      <c r="AG707" s="206">
        <v>2.2000000000000001E-4</v>
      </c>
      <c r="AH707" s="177">
        <v>0</v>
      </c>
      <c r="AI707" s="177">
        <v>0</v>
      </c>
      <c r="AJ707" s="177">
        <v>0</v>
      </c>
      <c r="AK707" s="177">
        <v>0</v>
      </c>
    </row>
    <row r="708" spans="3:37">
      <c r="C708" s="1029"/>
      <c r="D708" s="1029"/>
      <c r="E708" s="196" t="s">
        <v>385</v>
      </c>
      <c r="F708" s="197">
        <v>0.27459</v>
      </c>
      <c r="G708" s="197">
        <v>0.27161000000000002</v>
      </c>
      <c r="H708" s="197">
        <v>1.0000000000000001E-5</v>
      </c>
      <c r="I708" s="197">
        <v>2.97E-3</v>
      </c>
      <c r="J708" s="197">
        <v>0.30945</v>
      </c>
      <c r="K708" s="197">
        <v>0.30832999999999999</v>
      </c>
      <c r="L708" s="197">
        <v>5.1000000000000004E-4</v>
      </c>
      <c r="M708" s="197">
        <v>6.0999999999999997E-4</v>
      </c>
      <c r="N708" s="197">
        <v>0.17534</v>
      </c>
      <c r="O708" s="197">
        <v>0.17323</v>
      </c>
      <c r="P708" s="197">
        <v>2.4000000000000001E-4</v>
      </c>
      <c r="Q708" s="197">
        <v>1.8699999999999999E-3</v>
      </c>
      <c r="R708" s="839">
        <v>0.26034000000000002</v>
      </c>
      <c r="S708" s="839">
        <v>0.25705</v>
      </c>
      <c r="T708" s="839">
        <v>2.5699999999999998E-3</v>
      </c>
      <c r="U708" s="839">
        <v>7.2000000000000005E-4</v>
      </c>
      <c r="V708" s="206">
        <v>0.29073000000000004</v>
      </c>
      <c r="W708" s="206">
        <v>0.28993000000000002</v>
      </c>
      <c r="X708" s="206">
        <v>8.0000000000000007E-5</v>
      </c>
      <c r="Y708" s="206">
        <v>7.2000000000000005E-4</v>
      </c>
      <c r="Z708" s="206">
        <v>0.29082000000000002</v>
      </c>
      <c r="AA708" s="206">
        <v>0.28871000000000002</v>
      </c>
      <c r="AB708" s="206">
        <v>2.4000000000000001E-4</v>
      </c>
      <c r="AC708" s="206">
        <v>1.8699999999999999E-3</v>
      </c>
      <c r="AD708" s="206">
        <v>0.11398999999999999</v>
      </c>
      <c r="AE708" s="206">
        <v>0.1133</v>
      </c>
      <c r="AF708" s="206">
        <v>3.4000000000000002E-4</v>
      </c>
      <c r="AG708" s="206">
        <v>3.5E-4</v>
      </c>
      <c r="AH708" s="177">
        <v>0</v>
      </c>
      <c r="AI708" s="177">
        <v>0</v>
      </c>
      <c r="AJ708" s="177">
        <v>0</v>
      </c>
      <c r="AK708" s="177">
        <v>0</v>
      </c>
    </row>
    <row r="709" spans="3:37">
      <c r="C709" s="1029"/>
      <c r="D709" s="1029" t="s">
        <v>387</v>
      </c>
      <c r="E709" s="196" t="s">
        <v>384</v>
      </c>
      <c r="F709" s="197">
        <v>0.20946999999999999</v>
      </c>
      <c r="G709" s="197">
        <v>0.20763000000000001</v>
      </c>
      <c r="H709" s="197">
        <v>4.3200000000000001E-6</v>
      </c>
      <c r="I709" s="197">
        <v>1.8400000000000001E-3</v>
      </c>
      <c r="J709" s="197">
        <v>0.28294999999999998</v>
      </c>
      <c r="K709" s="197">
        <v>0.28225</v>
      </c>
      <c r="L709" s="197">
        <v>3.2000000000000003E-4</v>
      </c>
      <c r="M709" s="197">
        <v>3.8000000000000002E-4</v>
      </c>
      <c r="N709" s="197">
        <v>0.13177</v>
      </c>
      <c r="O709" s="197">
        <v>0.13022</v>
      </c>
      <c r="P709" s="197">
        <v>9.0000000000000006E-5</v>
      </c>
      <c r="Q709" s="197">
        <v>1.4599999999999999E-3</v>
      </c>
      <c r="R709" s="839">
        <v>0.23735000000000001</v>
      </c>
      <c r="S709" s="839">
        <v>0.23530999999999999</v>
      </c>
      <c r="T709" s="839">
        <v>1.5900000000000001E-3</v>
      </c>
      <c r="U709" s="839">
        <v>4.4999999999999999E-4</v>
      </c>
      <c r="V709" s="206">
        <v>0.26590999999999998</v>
      </c>
      <c r="W709" s="206">
        <v>0.26540999999999998</v>
      </c>
      <c r="X709" s="206">
        <v>5.0000000000000002E-5</v>
      </c>
      <c r="Y709" s="206">
        <v>4.4999999999999999E-4</v>
      </c>
      <c r="Z709" s="206">
        <v>0.22857</v>
      </c>
      <c r="AA709" s="206">
        <v>0.22702</v>
      </c>
      <c r="AB709" s="206">
        <v>9.0000000000000006E-5</v>
      </c>
      <c r="AC709" s="206">
        <v>1.4599999999999999E-3</v>
      </c>
      <c r="AD709" s="206">
        <v>7.7310000000000004E-2</v>
      </c>
      <c r="AE709" s="206">
        <v>7.6850000000000002E-2</v>
      </c>
      <c r="AF709" s="206">
        <v>2.4000000000000001E-4</v>
      </c>
      <c r="AG709" s="206">
        <v>2.2000000000000001E-4</v>
      </c>
      <c r="AH709" s="177">
        <v>0</v>
      </c>
      <c r="AI709" s="177">
        <v>0</v>
      </c>
      <c r="AJ709" s="177">
        <v>0</v>
      </c>
      <c r="AK709" s="177">
        <v>0</v>
      </c>
    </row>
    <row r="710" spans="3:37">
      <c r="C710" s="1029"/>
      <c r="D710" s="1029"/>
      <c r="E710" s="196" t="s">
        <v>385</v>
      </c>
      <c r="F710" s="197">
        <v>0.33712999999999999</v>
      </c>
      <c r="G710" s="197">
        <v>0.33415</v>
      </c>
      <c r="H710" s="197">
        <v>1.0000000000000001E-5</v>
      </c>
      <c r="I710" s="197">
        <v>2.97E-3</v>
      </c>
      <c r="J710" s="197">
        <v>0.45535999999999999</v>
      </c>
      <c r="K710" s="197">
        <v>0.45423999999999998</v>
      </c>
      <c r="L710" s="197">
        <v>5.1000000000000004E-4</v>
      </c>
      <c r="M710" s="197">
        <v>6.0999999999999997E-4</v>
      </c>
      <c r="N710" s="197">
        <v>0.21207000000000001</v>
      </c>
      <c r="O710" s="197">
        <v>0.20957000000000001</v>
      </c>
      <c r="P710" s="197">
        <v>1.3999999999999999E-4</v>
      </c>
      <c r="Q710" s="197">
        <v>2.3600000000000001E-3</v>
      </c>
      <c r="R710" s="839">
        <v>0.38198000000000004</v>
      </c>
      <c r="S710" s="839">
        <v>0.37869000000000003</v>
      </c>
      <c r="T710" s="839">
        <v>2.5699999999999998E-3</v>
      </c>
      <c r="U710" s="839">
        <v>7.2000000000000005E-4</v>
      </c>
      <c r="V710" s="206">
        <v>0.42794000000000004</v>
      </c>
      <c r="W710" s="206">
        <v>0.42714000000000002</v>
      </c>
      <c r="X710" s="206">
        <v>8.0000000000000007E-5</v>
      </c>
      <c r="Y710" s="206">
        <v>7.2000000000000005E-4</v>
      </c>
      <c r="Z710" s="206">
        <v>0.36784999999999995</v>
      </c>
      <c r="AA710" s="206">
        <v>0.36535000000000001</v>
      </c>
      <c r="AB710" s="206">
        <v>1.3999999999999999E-4</v>
      </c>
      <c r="AC710" s="206">
        <v>2.3600000000000001E-3</v>
      </c>
      <c r="AD710" s="206">
        <v>0.12442</v>
      </c>
      <c r="AE710" s="206">
        <v>0.12368</v>
      </c>
      <c r="AF710" s="206">
        <v>3.8000000000000002E-4</v>
      </c>
      <c r="AG710" s="206">
        <v>3.6000000000000002E-4</v>
      </c>
      <c r="AH710" s="177">
        <v>0</v>
      </c>
      <c r="AI710" s="177">
        <v>0</v>
      </c>
      <c r="AJ710" s="177">
        <v>0</v>
      </c>
      <c r="AK710" s="177">
        <v>0</v>
      </c>
    </row>
    <row r="711" spans="3:37">
      <c r="C711" s="1029"/>
      <c r="D711" s="1029" t="s">
        <v>388</v>
      </c>
      <c r="E711" s="196" t="s">
        <v>384</v>
      </c>
      <c r="F711" s="197">
        <v>0.17335999999999999</v>
      </c>
      <c r="G711" s="197">
        <v>0.17152000000000001</v>
      </c>
      <c r="H711" s="197">
        <v>4.3200000000000001E-6</v>
      </c>
      <c r="I711" s="197">
        <v>1.8400000000000001E-3</v>
      </c>
      <c r="J711" s="197">
        <v>0.18084</v>
      </c>
      <c r="K711" s="197">
        <v>0.18013999999999999</v>
      </c>
      <c r="L711" s="197">
        <v>3.2000000000000003E-4</v>
      </c>
      <c r="M711" s="197">
        <v>3.8000000000000002E-4</v>
      </c>
      <c r="N711" s="197">
        <v>0.11473</v>
      </c>
      <c r="O711" s="197">
        <v>0.11346000000000001</v>
      </c>
      <c r="P711" s="197">
        <v>1.6000000000000001E-4</v>
      </c>
      <c r="Q711" s="197">
        <v>1.1100000000000001E-3</v>
      </c>
      <c r="R711" s="839">
        <v>0.17802999999999999</v>
      </c>
      <c r="S711" s="839">
        <v>0.17599000000000001</v>
      </c>
      <c r="T711" s="839">
        <v>1.5900000000000001E-3</v>
      </c>
      <c r="U711" s="839">
        <v>4.4999999999999999E-4</v>
      </c>
      <c r="V711" s="206">
        <v>0.19900999999999999</v>
      </c>
      <c r="W711" s="206">
        <v>0.19850999999999999</v>
      </c>
      <c r="X711" s="206">
        <v>5.0000000000000002E-5</v>
      </c>
      <c r="Y711" s="206">
        <v>4.4999999999999999E-4</v>
      </c>
      <c r="Z711" s="206">
        <v>0.17710000000000001</v>
      </c>
      <c r="AA711" s="206">
        <v>0.17582999999999999</v>
      </c>
      <c r="AB711" s="206">
        <v>1.6000000000000001E-4</v>
      </c>
      <c r="AC711" s="206">
        <v>1.1100000000000001E-3</v>
      </c>
      <c r="AD711" s="206">
        <v>7.0750000000000007E-2</v>
      </c>
      <c r="AE711" s="206">
        <v>7.0330000000000004E-2</v>
      </c>
      <c r="AF711" s="206">
        <v>2.1000000000000001E-4</v>
      </c>
      <c r="AG711" s="206">
        <v>2.1000000000000001E-4</v>
      </c>
      <c r="AH711" s="177">
        <v>0</v>
      </c>
      <c r="AI711" s="177">
        <v>0</v>
      </c>
      <c r="AJ711" s="177">
        <v>0</v>
      </c>
      <c r="AK711" s="177">
        <v>0</v>
      </c>
    </row>
    <row r="712" spans="3:37">
      <c r="C712" s="1029"/>
      <c r="D712" s="1029"/>
      <c r="E712" s="196" t="s">
        <v>385</v>
      </c>
      <c r="F712" s="197">
        <v>0.27900999999999998</v>
      </c>
      <c r="G712" s="197">
        <v>0.27603</v>
      </c>
      <c r="H712" s="197">
        <v>1.0000000000000001E-5</v>
      </c>
      <c r="I712" s="197">
        <v>2.97E-3</v>
      </c>
      <c r="J712" s="197">
        <v>0.29103000000000001</v>
      </c>
      <c r="K712" s="197">
        <v>0.28991</v>
      </c>
      <c r="L712" s="197">
        <v>5.1000000000000004E-4</v>
      </c>
      <c r="M712" s="197">
        <v>6.0999999999999997E-4</v>
      </c>
      <c r="N712" s="197">
        <v>0.18464000000000003</v>
      </c>
      <c r="O712" s="197">
        <v>0.18259</v>
      </c>
      <c r="P712" s="197">
        <v>2.5999999999999998E-4</v>
      </c>
      <c r="Q712" s="197">
        <v>1.7899999999999999E-3</v>
      </c>
      <c r="R712" s="839">
        <v>0.28653000000000001</v>
      </c>
      <c r="S712" s="839">
        <v>0.28323999999999999</v>
      </c>
      <c r="T712" s="839">
        <v>2.5699999999999998E-3</v>
      </c>
      <c r="U712" s="839">
        <v>7.2000000000000005E-4</v>
      </c>
      <c r="V712" s="206">
        <v>0.32027</v>
      </c>
      <c r="W712" s="206">
        <v>0.31946999999999998</v>
      </c>
      <c r="X712" s="206">
        <v>8.0000000000000007E-5</v>
      </c>
      <c r="Y712" s="206">
        <v>7.2000000000000005E-4</v>
      </c>
      <c r="Z712" s="206">
        <v>0.28502</v>
      </c>
      <c r="AA712" s="206">
        <v>0.28297</v>
      </c>
      <c r="AB712" s="206">
        <v>2.5999999999999998E-4</v>
      </c>
      <c r="AC712" s="206">
        <v>1.7899999999999999E-3</v>
      </c>
      <c r="AD712" s="206">
        <v>0.11386000000000002</v>
      </c>
      <c r="AE712" s="206">
        <v>0.11318</v>
      </c>
      <c r="AF712" s="206">
        <v>3.4000000000000002E-4</v>
      </c>
      <c r="AG712" s="206">
        <v>3.4000000000000002E-4</v>
      </c>
      <c r="AH712" s="177">
        <v>0</v>
      </c>
      <c r="AI712" s="177">
        <v>0</v>
      </c>
      <c r="AJ712" s="177">
        <v>0</v>
      </c>
      <c r="AK712" s="177">
        <v>0</v>
      </c>
    </row>
    <row r="713" spans="3:37">
      <c r="C713" s="194"/>
      <c r="D713" s="194"/>
      <c r="E713" s="194"/>
      <c r="F713" s="194"/>
      <c r="G713" s="194"/>
      <c r="H713" s="194"/>
      <c r="I713" s="194"/>
      <c r="J713" s="194"/>
      <c r="K713" s="194"/>
      <c r="L713" s="194"/>
      <c r="M713" s="194"/>
      <c r="N713" s="194"/>
      <c r="O713" s="194"/>
      <c r="P713" s="194"/>
      <c r="Q713" s="194"/>
      <c r="R713" s="194"/>
      <c r="S713" s="194"/>
      <c r="T713" s="194"/>
      <c r="U713" s="194"/>
      <c r="V713" s="194"/>
      <c r="W713" s="194"/>
      <c r="X713" s="194"/>
      <c r="Y713" s="194"/>
      <c r="Z713" s="194"/>
      <c r="AA713" s="194"/>
      <c r="AB713" s="194"/>
      <c r="AC713" s="194"/>
      <c r="AD713" s="194"/>
      <c r="AE713" s="194"/>
      <c r="AF713" s="194"/>
      <c r="AG713" s="194"/>
      <c r="AH713" s="194"/>
      <c r="AI713" s="194"/>
      <c r="AJ713" s="194"/>
      <c r="AK713" s="194"/>
    </row>
    <row r="714" spans="3:37">
      <c r="C714" s="194"/>
      <c r="D714" s="194"/>
      <c r="E714" s="194"/>
      <c r="F714" s="194"/>
      <c r="G714" s="194"/>
      <c r="H714" s="194"/>
      <c r="I714" s="194"/>
      <c r="J714" s="194"/>
      <c r="K714" s="194"/>
      <c r="L714" s="194"/>
      <c r="M714" s="194"/>
      <c r="N714" s="194"/>
      <c r="O714" s="194"/>
      <c r="P714" s="194"/>
      <c r="Q714" s="194"/>
      <c r="R714" s="194"/>
      <c r="S714" s="194"/>
      <c r="T714" s="194"/>
      <c r="U714" s="194"/>
      <c r="V714" s="194"/>
      <c r="W714" s="194"/>
      <c r="X714" s="194"/>
      <c r="Y714" s="194"/>
      <c r="Z714" s="194"/>
      <c r="AA714" s="194"/>
      <c r="AB714" s="194"/>
      <c r="AC714" s="194"/>
      <c r="AD714" s="194"/>
      <c r="AE714" s="194"/>
      <c r="AF714" s="194"/>
      <c r="AG714" s="194"/>
      <c r="AH714" s="194"/>
      <c r="AI714" s="194"/>
      <c r="AJ714" s="194"/>
      <c r="AK714" s="194"/>
    </row>
    <row r="715" spans="3:37">
      <c r="C715" s="194"/>
      <c r="D715" s="194"/>
      <c r="E715" s="194"/>
      <c r="F715" s="194"/>
      <c r="G715" s="194"/>
      <c r="H715" s="194"/>
      <c r="I715" s="194"/>
      <c r="J715" s="194"/>
      <c r="K715" s="194"/>
      <c r="L715" s="194"/>
      <c r="M715" s="194"/>
      <c r="N715" s="194"/>
      <c r="O715" s="194"/>
      <c r="P715" s="194"/>
      <c r="Q715" s="194"/>
      <c r="R715" s="194"/>
      <c r="S715" s="194"/>
      <c r="T715" s="194"/>
      <c r="U715" s="194"/>
      <c r="V715" s="194"/>
      <c r="W715" s="194"/>
      <c r="X715" s="194"/>
      <c r="Y715" s="194"/>
      <c r="Z715" s="194"/>
      <c r="AA715" s="194"/>
      <c r="AB715" s="194"/>
      <c r="AC715" s="194"/>
      <c r="AD715" s="194"/>
      <c r="AE715" s="194"/>
      <c r="AF715" s="194"/>
      <c r="AG715" s="194"/>
      <c r="AH715" s="194"/>
      <c r="AI715" s="194"/>
      <c r="AJ715" s="194"/>
      <c r="AK715" s="194"/>
    </row>
    <row r="716" spans="3:37" ht="18">
      <c r="C716" s="195" t="s">
        <v>354</v>
      </c>
      <c r="D716" s="195" t="s">
        <v>369</v>
      </c>
      <c r="E716" s="195" t="s">
        <v>194</v>
      </c>
      <c r="F716" s="196" t="s">
        <v>413</v>
      </c>
      <c r="G716" s="196" t="s">
        <v>414</v>
      </c>
      <c r="H716" s="196" t="s">
        <v>415</v>
      </c>
      <c r="I716" s="196" t="s">
        <v>416</v>
      </c>
      <c r="J716" s="194"/>
      <c r="K716" s="194"/>
      <c r="L716" s="194"/>
      <c r="M716" s="194"/>
      <c r="N716" s="194"/>
      <c r="O716" s="194"/>
      <c r="P716" s="194"/>
      <c r="Q716" s="194"/>
      <c r="R716" s="194"/>
      <c r="S716" s="194"/>
      <c r="T716" s="194"/>
      <c r="U716" s="194"/>
      <c r="V716" s="194"/>
      <c r="W716" s="194"/>
      <c r="X716" s="194"/>
      <c r="Y716" s="194"/>
      <c r="Z716" s="194"/>
      <c r="AA716" s="194"/>
      <c r="AB716" s="194"/>
      <c r="AC716" s="194"/>
      <c r="AD716" s="194"/>
      <c r="AE716" s="194"/>
      <c r="AF716" s="194"/>
      <c r="AG716" s="194"/>
      <c r="AH716" s="194"/>
      <c r="AI716" s="194"/>
      <c r="AJ716" s="194"/>
      <c r="AK716" s="194"/>
    </row>
    <row r="717" spans="3:37">
      <c r="C717" s="1029" t="s">
        <v>389</v>
      </c>
      <c r="D717" s="1029" t="s">
        <v>390</v>
      </c>
      <c r="E717" s="196" t="s">
        <v>384</v>
      </c>
      <c r="F717" s="197">
        <v>8.4449999999999997E-2</v>
      </c>
      <c r="G717" s="197">
        <v>8.2409999999999997E-2</v>
      </c>
      <c r="H717" s="197">
        <v>1.74E-3</v>
      </c>
      <c r="I717" s="197">
        <v>2.9999999999999997E-4</v>
      </c>
      <c r="J717" s="194"/>
      <c r="K717" s="194"/>
      <c r="L717" s="194"/>
      <c r="M717" s="194"/>
      <c r="N717" s="194"/>
      <c r="O717" s="194"/>
      <c r="P717" s="194"/>
      <c r="Q717" s="194"/>
      <c r="R717" s="194"/>
      <c r="S717" s="194"/>
      <c r="T717" s="194"/>
      <c r="U717" s="194"/>
      <c r="V717" s="194"/>
      <c r="W717" s="194"/>
      <c r="X717" s="194"/>
      <c r="Y717" s="194"/>
      <c r="Z717" s="194"/>
      <c r="AA717" s="194"/>
      <c r="AB717" s="194"/>
      <c r="AC717" s="194"/>
      <c r="AD717" s="194"/>
      <c r="AE717" s="194"/>
      <c r="AF717" s="194"/>
      <c r="AG717" s="194"/>
      <c r="AH717" s="194"/>
      <c r="AI717" s="194"/>
      <c r="AJ717" s="194"/>
      <c r="AK717" s="194"/>
    </row>
    <row r="718" spans="3:37">
      <c r="C718" s="1029"/>
      <c r="D718" s="1029"/>
      <c r="E718" s="196" t="s">
        <v>385</v>
      </c>
      <c r="F718" s="197">
        <v>0.13591</v>
      </c>
      <c r="G718" s="197">
        <v>0.13263</v>
      </c>
      <c r="H718" s="197">
        <v>2.8E-3</v>
      </c>
      <c r="I718" s="197">
        <v>4.8000000000000001E-4</v>
      </c>
      <c r="J718" s="194"/>
      <c r="K718" s="194"/>
      <c r="L718" s="194"/>
      <c r="M718" s="194"/>
      <c r="N718" s="194"/>
      <c r="O718" s="194"/>
      <c r="P718" s="194"/>
      <c r="Q718" s="194"/>
      <c r="R718" s="194"/>
      <c r="S718" s="194"/>
      <c r="T718" s="194"/>
      <c r="U718" s="194"/>
      <c r="V718" s="194"/>
      <c r="W718" s="194"/>
      <c r="X718" s="194"/>
      <c r="Y718" s="194"/>
      <c r="Z718" s="194"/>
      <c r="AA718" s="194"/>
      <c r="AB718" s="194"/>
      <c r="AC718" s="194"/>
      <c r="AD718" s="194"/>
      <c r="AE718" s="194"/>
      <c r="AF718" s="194"/>
      <c r="AG718" s="194"/>
      <c r="AH718" s="194"/>
      <c r="AI718" s="194"/>
      <c r="AJ718" s="194"/>
      <c r="AK718" s="194"/>
    </row>
    <row r="719" spans="3:37">
      <c r="C719" s="1029"/>
      <c r="D719" s="1029" t="s">
        <v>391</v>
      </c>
      <c r="E719" s="196" t="s">
        <v>384</v>
      </c>
      <c r="F719" s="197">
        <v>0.10289000000000001</v>
      </c>
      <c r="G719" s="197">
        <v>0.10004</v>
      </c>
      <c r="H719" s="197">
        <v>2.2499999999999998E-3</v>
      </c>
      <c r="I719" s="197">
        <v>5.9999999999999995E-4</v>
      </c>
      <c r="J719" s="194"/>
      <c r="K719" s="194"/>
      <c r="L719" s="194"/>
      <c r="M719" s="194"/>
      <c r="N719" s="194"/>
      <c r="O719" s="194"/>
      <c r="P719" s="194"/>
      <c r="Q719" s="194"/>
      <c r="R719" s="194"/>
      <c r="S719" s="194"/>
      <c r="T719" s="194"/>
      <c r="U719" s="194"/>
      <c r="V719" s="194"/>
      <c r="W719" s="194"/>
      <c r="X719" s="194"/>
      <c r="Y719" s="194"/>
      <c r="Z719" s="194"/>
      <c r="AA719" s="194"/>
      <c r="AB719" s="194"/>
      <c r="AC719" s="194"/>
      <c r="AD719" s="194"/>
      <c r="AE719" s="194"/>
      <c r="AF719" s="194"/>
      <c r="AG719" s="194"/>
      <c r="AH719" s="194"/>
      <c r="AI719" s="194"/>
      <c r="AJ719" s="194"/>
      <c r="AK719" s="194"/>
    </row>
    <row r="720" spans="3:37">
      <c r="C720" s="1029"/>
      <c r="D720" s="1029"/>
      <c r="E720" s="196" t="s">
        <v>385</v>
      </c>
      <c r="F720" s="197">
        <v>0.16559000000000001</v>
      </c>
      <c r="G720" s="179">
        <v>0.161</v>
      </c>
      <c r="H720" s="197">
        <v>3.62E-3</v>
      </c>
      <c r="I720" s="197">
        <v>9.7000000000000005E-4</v>
      </c>
      <c r="J720" s="194"/>
      <c r="K720" s="194"/>
      <c r="L720" s="194"/>
      <c r="M720" s="194"/>
      <c r="N720" s="194"/>
      <c r="O720" s="194"/>
      <c r="P720" s="194"/>
      <c r="Q720" s="194"/>
      <c r="R720" s="194"/>
      <c r="S720" s="194"/>
      <c r="T720" s="194"/>
      <c r="U720" s="194"/>
      <c r="V720" s="194"/>
      <c r="W720" s="194"/>
      <c r="X720" s="194"/>
      <c r="Y720" s="194"/>
      <c r="Z720" s="194"/>
      <c r="AA720" s="194"/>
      <c r="AB720" s="194"/>
      <c r="AC720" s="194"/>
      <c r="AD720" s="194"/>
      <c r="AE720" s="194"/>
      <c r="AF720" s="194"/>
      <c r="AG720" s="194"/>
      <c r="AH720" s="194"/>
      <c r="AI720" s="194"/>
      <c r="AJ720" s="194"/>
      <c r="AK720" s="194"/>
    </row>
    <row r="721" spans="3:37">
      <c r="C721" s="1029"/>
      <c r="D721" s="1029" t="s">
        <v>392</v>
      </c>
      <c r="E721" s="196" t="s">
        <v>384</v>
      </c>
      <c r="F721" s="197">
        <v>0.13500999999999999</v>
      </c>
      <c r="G721" s="197">
        <v>0.13308</v>
      </c>
      <c r="H721" s="197">
        <v>1.33E-3</v>
      </c>
      <c r="I721" s="197">
        <v>5.9999999999999995E-4</v>
      </c>
      <c r="J721" s="194"/>
      <c r="K721" s="194"/>
      <c r="L721" s="194"/>
      <c r="M721" s="194"/>
      <c r="N721" s="194"/>
      <c r="O721" s="194"/>
      <c r="P721" s="194"/>
      <c r="Q721" s="194"/>
      <c r="R721" s="194"/>
      <c r="S721" s="194"/>
      <c r="T721" s="194"/>
      <c r="U721" s="194"/>
      <c r="V721" s="194"/>
      <c r="W721" s="194"/>
      <c r="X721" s="194"/>
      <c r="Y721" s="194"/>
      <c r="Z721" s="194"/>
      <c r="AA721" s="194"/>
      <c r="AB721" s="194"/>
      <c r="AC721" s="194"/>
      <c r="AD721" s="194"/>
      <c r="AE721" s="194"/>
      <c r="AF721" s="194"/>
      <c r="AG721" s="194"/>
      <c r="AH721" s="194"/>
      <c r="AI721" s="194"/>
      <c r="AJ721" s="194"/>
      <c r="AK721" s="194"/>
    </row>
    <row r="722" spans="3:37">
      <c r="C722" s="1029"/>
      <c r="D722" s="1029"/>
      <c r="E722" s="196" t="s">
        <v>385</v>
      </c>
      <c r="F722" s="197">
        <v>0.21729000000000001</v>
      </c>
      <c r="G722" s="197">
        <v>0.21418000000000001</v>
      </c>
      <c r="H722" s="197">
        <v>2.14E-3</v>
      </c>
      <c r="I722" s="197">
        <v>9.7000000000000005E-4</v>
      </c>
      <c r="J722" s="194"/>
      <c r="K722" s="194"/>
      <c r="L722" s="194"/>
      <c r="M722" s="194"/>
      <c r="N722" s="194"/>
      <c r="O722" s="194"/>
      <c r="P722" s="194"/>
      <c r="Q722" s="194"/>
      <c r="R722" s="194"/>
      <c r="S722" s="194"/>
      <c r="T722" s="194"/>
      <c r="U722" s="194"/>
      <c r="V722" s="194"/>
      <c r="W722" s="194"/>
      <c r="X722" s="194"/>
      <c r="Y722" s="194"/>
      <c r="Z722" s="194"/>
      <c r="AA722" s="194"/>
      <c r="AB722" s="194"/>
      <c r="AC722" s="194"/>
      <c r="AD722" s="194"/>
      <c r="AE722" s="194"/>
      <c r="AF722" s="194"/>
      <c r="AG722" s="194"/>
      <c r="AH722" s="194"/>
      <c r="AI722" s="194"/>
      <c r="AJ722" s="194"/>
      <c r="AK722" s="194"/>
    </row>
    <row r="723" spans="3:37">
      <c r="C723" s="1029"/>
      <c r="D723" s="1029" t="s">
        <v>393</v>
      </c>
      <c r="E723" s="196" t="s">
        <v>384</v>
      </c>
      <c r="F723" s="197">
        <v>0.11551</v>
      </c>
      <c r="G723" s="197">
        <v>0.11314</v>
      </c>
      <c r="H723" s="197">
        <v>1.7799999999999999E-3</v>
      </c>
      <c r="I723" s="197">
        <v>5.9000000000000003E-4</v>
      </c>
      <c r="J723" s="194"/>
      <c r="K723" s="194"/>
      <c r="L723" s="194"/>
      <c r="M723" s="194"/>
      <c r="N723" s="194"/>
      <c r="O723" s="194"/>
      <c r="P723" s="194"/>
      <c r="Q723" s="194"/>
      <c r="R723" s="194"/>
      <c r="S723" s="194"/>
      <c r="T723" s="194"/>
      <c r="U723" s="194"/>
      <c r="V723" s="194"/>
      <c r="W723" s="194"/>
      <c r="X723" s="194"/>
      <c r="Y723" s="194"/>
      <c r="Z723" s="194"/>
      <c r="AA723" s="194"/>
      <c r="AB723" s="194"/>
      <c r="AC723" s="194"/>
      <c r="AD723" s="194"/>
      <c r="AE723" s="194"/>
      <c r="AF723" s="194"/>
      <c r="AG723" s="194"/>
      <c r="AH723" s="194"/>
      <c r="AI723" s="194"/>
      <c r="AJ723" s="194"/>
      <c r="AK723" s="194"/>
    </row>
    <row r="724" spans="3:37">
      <c r="C724" s="1029"/>
      <c r="D724" s="1029"/>
      <c r="E724" s="196" t="s">
        <v>385</v>
      </c>
      <c r="F724" s="197">
        <v>0.18589</v>
      </c>
      <c r="G724" s="197">
        <v>0.18207999999999999</v>
      </c>
      <c r="H724" s="197">
        <v>2.8600000000000001E-3</v>
      </c>
      <c r="I724" s="197">
        <v>9.5E-4</v>
      </c>
      <c r="J724" s="194"/>
      <c r="K724" s="194"/>
      <c r="L724" s="194"/>
      <c r="M724" s="194"/>
      <c r="N724" s="194"/>
      <c r="O724" s="194"/>
      <c r="P724" s="194"/>
      <c r="Q724" s="194"/>
      <c r="R724" s="194"/>
      <c r="S724" s="194"/>
      <c r="T724" s="194"/>
      <c r="U724" s="194"/>
      <c r="V724" s="194"/>
      <c r="W724" s="194"/>
      <c r="X724" s="194"/>
      <c r="Y724" s="194"/>
      <c r="Z724" s="194"/>
      <c r="AA724" s="194"/>
      <c r="AB724" s="194"/>
      <c r="AC724" s="194"/>
      <c r="AD724" s="194"/>
      <c r="AE724" s="194"/>
      <c r="AF724" s="194"/>
      <c r="AG724" s="194"/>
      <c r="AH724" s="194"/>
      <c r="AI724" s="194"/>
      <c r="AJ724" s="194"/>
      <c r="AK724" s="194"/>
    </row>
    <row r="727" spans="3:37">
      <c r="C727" s="180"/>
      <c r="D727" s="180"/>
      <c r="E727" s="180"/>
      <c r="F727" s="180"/>
      <c r="G727" s="1041" t="s">
        <v>353</v>
      </c>
      <c r="H727" s="1042"/>
      <c r="I727" s="1042"/>
      <c r="J727" s="1043"/>
      <c r="K727" s="1044" t="s">
        <v>424</v>
      </c>
      <c r="L727" s="1042"/>
      <c r="M727" s="1042"/>
      <c r="N727" s="1045"/>
    </row>
    <row r="728" spans="3:37" ht="18">
      <c r="C728" s="183" t="s">
        <v>354</v>
      </c>
      <c r="D728" s="184" t="s">
        <v>355</v>
      </c>
      <c r="E728" s="184" t="s">
        <v>356</v>
      </c>
      <c r="F728" s="187" t="s">
        <v>194</v>
      </c>
      <c r="G728" s="190" t="s">
        <v>413</v>
      </c>
      <c r="H728" s="181" t="s">
        <v>414</v>
      </c>
      <c r="I728" s="181" t="s">
        <v>415</v>
      </c>
      <c r="J728" s="192" t="s">
        <v>416</v>
      </c>
      <c r="K728" s="182" t="s">
        <v>413</v>
      </c>
      <c r="L728" s="181" t="s">
        <v>414</v>
      </c>
      <c r="M728" s="181" t="s">
        <v>415</v>
      </c>
      <c r="N728" s="185" t="s">
        <v>416</v>
      </c>
    </row>
    <row r="729" spans="3:37" ht="60">
      <c r="C729" s="1046" t="s">
        <v>358</v>
      </c>
      <c r="D729" s="181" t="s">
        <v>359</v>
      </c>
      <c r="E729" s="181" t="s">
        <v>360</v>
      </c>
      <c r="F729" s="188" t="s">
        <v>361</v>
      </c>
      <c r="G729" s="191">
        <v>0.25492999999999999</v>
      </c>
      <c r="H729" s="191">
        <v>0.25355</v>
      </c>
      <c r="I729" s="191">
        <v>1.2E-4</v>
      </c>
      <c r="J729" s="191">
        <v>1.2600000000000001E-3</v>
      </c>
      <c r="K729" s="191">
        <v>0.13483000000000003</v>
      </c>
      <c r="L729" s="191">
        <v>0.13345000000000001</v>
      </c>
      <c r="M729" s="191">
        <v>1.2E-4</v>
      </c>
      <c r="N729" s="191">
        <v>1.2600000000000001E-3</v>
      </c>
    </row>
    <row r="730" spans="3:37" ht="45">
      <c r="C730" s="1046"/>
      <c r="D730" s="1028" t="s">
        <v>362</v>
      </c>
      <c r="E730" s="181" t="s">
        <v>360</v>
      </c>
      <c r="F730" s="188" t="s">
        <v>361</v>
      </c>
      <c r="G730" s="191">
        <v>0.15832000000000002</v>
      </c>
      <c r="H730" s="191">
        <v>0.15753</v>
      </c>
      <c r="I730" s="191">
        <v>1.0000000000000001E-5</v>
      </c>
      <c r="J730" s="191">
        <v>7.7999999999999999E-4</v>
      </c>
      <c r="K730" s="191">
        <v>8.3699999999999997E-2</v>
      </c>
      <c r="L730" s="191">
        <v>8.2909999999999998E-2</v>
      </c>
      <c r="M730" s="191">
        <v>1.0000000000000001E-5</v>
      </c>
      <c r="N730" s="191">
        <v>7.7999999999999999E-4</v>
      </c>
    </row>
    <row r="731" spans="3:37" ht="30">
      <c r="C731" s="1046"/>
      <c r="D731" s="1028"/>
      <c r="E731" s="181" t="s">
        <v>363</v>
      </c>
      <c r="F731" s="188" t="s">
        <v>361</v>
      </c>
      <c r="G731" s="191">
        <v>0.15573000000000001</v>
      </c>
      <c r="H731" s="191">
        <v>0.15495</v>
      </c>
      <c r="I731" s="191">
        <v>1.0000000000000001E-5</v>
      </c>
      <c r="J731" s="191">
        <v>7.6999999999999996E-4</v>
      </c>
      <c r="K731" s="191">
        <v>8.233E-2</v>
      </c>
      <c r="L731" s="191">
        <v>8.1549999999999997E-2</v>
      </c>
      <c r="M731" s="191">
        <v>1.0000000000000001E-5</v>
      </c>
      <c r="N731" s="191">
        <v>7.6999999999999996E-4</v>
      </c>
    </row>
    <row r="732" spans="3:37" ht="30">
      <c r="C732" s="1046"/>
      <c r="D732" s="1028"/>
      <c r="E732" s="181" t="s">
        <v>364</v>
      </c>
      <c r="F732" s="188" t="s">
        <v>361</v>
      </c>
      <c r="G732" s="191">
        <v>0.2336</v>
      </c>
      <c r="H732" s="191">
        <v>0.23243</v>
      </c>
      <c r="I732" s="191">
        <v>1.0000000000000001E-5</v>
      </c>
      <c r="J732" s="191">
        <v>1.16E-3</v>
      </c>
      <c r="K732" s="191">
        <v>0.12349999999999998</v>
      </c>
      <c r="L732" s="191">
        <v>0.12232999999999999</v>
      </c>
      <c r="M732" s="191">
        <v>1.0000000000000001E-5</v>
      </c>
      <c r="N732" s="191">
        <v>1.16E-3</v>
      </c>
    </row>
    <row r="733" spans="3:37" ht="45">
      <c r="C733" s="1046"/>
      <c r="D733" s="1028" t="s">
        <v>365</v>
      </c>
      <c r="E733" s="181" t="s">
        <v>360</v>
      </c>
      <c r="F733" s="188" t="s">
        <v>361</v>
      </c>
      <c r="G733" s="191">
        <v>0.19562000000000002</v>
      </c>
      <c r="H733" s="193">
        <v>0.19464000000000001</v>
      </c>
      <c r="I733" s="191">
        <v>1.0000000000000001E-5</v>
      </c>
      <c r="J733" s="191">
        <v>9.7000000000000005E-4</v>
      </c>
      <c r="K733" s="191">
        <v>0.10342</v>
      </c>
      <c r="L733" s="191">
        <v>0.10244</v>
      </c>
      <c r="M733" s="191">
        <v>1.0000000000000001E-5</v>
      </c>
      <c r="N733" s="191">
        <v>9.7000000000000005E-4</v>
      </c>
    </row>
    <row r="734" spans="3:37" ht="30">
      <c r="C734" s="1046"/>
      <c r="D734" s="1028"/>
      <c r="E734" s="181" t="s">
        <v>363</v>
      </c>
      <c r="F734" s="188" t="s">
        <v>361</v>
      </c>
      <c r="G734" s="191">
        <v>0.14981</v>
      </c>
      <c r="H734" s="191">
        <v>0.14906</v>
      </c>
      <c r="I734" s="191">
        <v>1.0000000000000001E-5</v>
      </c>
      <c r="J734" s="191">
        <v>7.3999999999999999E-4</v>
      </c>
      <c r="K734" s="191">
        <v>7.9200000000000007E-2</v>
      </c>
      <c r="L734" s="191">
        <v>7.8450000000000006E-2</v>
      </c>
      <c r="M734" s="191">
        <v>1.0000000000000001E-5</v>
      </c>
      <c r="N734" s="191">
        <v>7.3999999999999999E-4</v>
      </c>
    </row>
    <row r="735" spans="3:37" ht="60">
      <c r="C735" s="1046"/>
      <c r="D735" s="1028"/>
      <c r="E735" s="181" t="s">
        <v>366</v>
      </c>
      <c r="F735" s="188" t="s">
        <v>361</v>
      </c>
      <c r="G735" s="191">
        <v>0.2397</v>
      </c>
      <c r="H735" s="191">
        <v>0.23849999999999999</v>
      </c>
      <c r="I735" s="191">
        <v>1.0000000000000001E-5</v>
      </c>
      <c r="J735" s="191">
        <v>1.1900000000000001E-3</v>
      </c>
      <c r="K735" s="191">
        <v>0.12673000000000001</v>
      </c>
      <c r="L735" s="191">
        <v>0.12553</v>
      </c>
      <c r="M735" s="191">
        <v>1.0000000000000001E-5</v>
      </c>
      <c r="N735" s="191">
        <v>1.1900000000000001E-3</v>
      </c>
    </row>
    <row r="736" spans="3:37" ht="30">
      <c r="C736" s="1046"/>
      <c r="D736" s="1028"/>
      <c r="E736" s="181" t="s">
        <v>364</v>
      </c>
      <c r="F736" s="188" t="s">
        <v>361</v>
      </c>
      <c r="G736" s="191">
        <v>0.43446000000000001</v>
      </c>
      <c r="H736" s="191">
        <v>0.43229000000000001</v>
      </c>
      <c r="I736" s="191">
        <v>2.0000000000000002E-5</v>
      </c>
      <c r="J736" s="191">
        <v>2.15E-3</v>
      </c>
      <c r="K736" s="191">
        <v>0.22969000000000001</v>
      </c>
      <c r="L736" s="191">
        <v>0.22752</v>
      </c>
      <c r="M736" s="191">
        <v>2.0000000000000002E-5</v>
      </c>
      <c r="N736" s="191">
        <v>2.15E-3</v>
      </c>
    </row>
    <row r="737" spans="3:37" ht="30">
      <c r="C737" s="1046"/>
      <c r="D737" s="1028"/>
      <c r="E737" s="181" t="s">
        <v>367</v>
      </c>
      <c r="F737" s="188" t="s">
        <v>361</v>
      </c>
      <c r="G737" s="191">
        <v>0.59925000000000006</v>
      </c>
      <c r="H737" s="191">
        <v>0.59626000000000001</v>
      </c>
      <c r="I737" s="191">
        <v>2.0000000000000002E-5</v>
      </c>
      <c r="J737" s="191">
        <v>2.97E-3</v>
      </c>
      <c r="K737" s="191">
        <v>0.31680999999999998</v>
      </c>
      <c r="L737" s="191">
        <v>0.31381999999999999</v>
      </c>
      <c r="M737" s="191">
        <v>2.0000000000000002E-5</v>
      </c>
      <c r="N737" s="191">
        <v>2.97E-3</v>
      </c>
    </row>
    <row r="738" spans="3:37" ht="45">
      <c r="C738" s="1046"/>
      <c r="D738" s="1028" t="s">
        <v>368</v>
      </c>
      <c r="E738" s="181" t="s">
        <v>360</v>
      </c>
      <c r="F738" s="188" t="s">
        <v>361</v>
      </c>
      <c r="G738" s="191">
        <v>0.18078000000000002</v>
      </c>
      <c r="H738" s="191">
        <v>0.17987</v>
      </c>
      <c r="I738" s="191">
        <v>1.0000000000000001E-5</v>
      </c>
      <c r="J738" s="191">
        <v>8.9999999999999998E-4</v>
      </c>
      <c r="K738" s="191">
        <v>9.5579999999999998E-2</v>
      </c>
      <c r="L738" s="191">
        <v>9.4670000000000004E-2</v>
      </c>
      <c r="M738" s="191">
        <v>1.0000000000000001E-5</v>
      </c>
      <c r="N738" s="191">
        <v>8.9999999999999998E-4</v>
      </c>
    </row>
    <row r="739" spans="3:37" ht="30">
      <c r="C739" s="1046"/>
      <c r="D739" s="1028"/>
      <c r="E739" s="181" t="s">
        <v>363</v>
      </c>
      <c r="F739" s="188" t="s">
        <v>361</v>
      </c>
      <c r="G739" s="191">
        <v>0.13844530000000002</v>
      </c>
      <c r="H739" s="191">
        <v>0.13775000000000001</v>
      </c>
      <c r="I739" s="191">
        <v>5.3000000000000001E-6</v>
      </c>
      <c r="J739" s="191">
        <v>6.8999999999999997E-4</v>
      </c>
      <c r="K739" s="191">
        <v>7.3195299999999991E-2</v>
      </c>
      <c r="L739" s="191">
        <v>7.2499999999999995E-2</v>
      </c>
      <c r="M739" s="191">
        <v>5.3000000000000001E-6</v>
      </c>
      <c r="N739" s="191">
        <v>6.8999999999999997E-4</v>
      </c>
    </row>
    <row r="740" spans="3:37" ht="60">
      <c r="C740" s="1046"/>
      <c r="D740" s="1028"/>
      <c r="E740" s="181" t="s">
        <v>366</v>
      </c>
      <c r="F740" s="188" t="s">
        <v>361</v>
      </c>
      <c r="G740" s="191">
        <v>0.22151000000000001</v>
      </c>
      <c r="H740" s="191">
        <v>0.22040000000000001</v>
      </c>
      <c r="I740" s="191">
        <v>1.0000000000000001E-5</v>
      </c>
      <c r="J740" s="191">
        <v>1.1000000000000001E-3</v>
      </c>
      <c r="K740" s="191">
        <v>0.11711000000000001</v>
      </c>
      <c r="L740" s="191">
        <v>0.11600000000000001</v>
      </c>
      <c r="M740" s="191">
        <v>1.0000000000000001E-5</v>
      </c>
      <c r="N740" s="191">
        <v>1.1000000000000001E-3</v>
      </c>
    </row>
    <row r="741" spans="3:37" ht="30">
      <c r="C741" s="1046"/>
      <c r="D741" s="1028"/>
      <c r="E741" s="181" t="s">
        <v>364</v>
      </c>
      <c r="F741" s="188" t="s">
        <v>361</v>
      </c>
      <c r="G741" s="191">
        <v>0.40149000000000001</v>
      </c>
      <c r="H741" s="191">
        <v>0.39948</v>
      </c>
      <c r="I741" s="191">
        <v>2.0000000000000002E-5</v>
      </c>
      <c r="J741" s="191">
        <v>1.99E-3</v>
      </c>
      <c r="K741" s="191">
        <v>0.21225999999999998</v>
      </c>
      <c r="L741" s="191">
        <v>0.21024999999999999</v>
      </c>
      <c r="M741" s="191">
        <v>2.0000000000000002E-5</v>
      </c>
      <c r="N741" s="191">
        <v>1.99E-3</v>
      </c>
    </row>
    <row r="742" spans="3:37" ht="30">
      <c r="C742" s="1047"/>
      <c r="D742" s="1048"/>
      <c r="E742" s="186" t="s">
        <v>367</v>
      </c>
      <c r="F742" s="189" t="s">
        <v>361</v>
      </c>
      <c r="G742" s="191">
        <v>0.55376000000000003</v>
      </c>
      <c r="H742" s="191">
        <v>0.55100000000000005</v>
      </c>
      <c r="I742" s="191">
        <v>2.0000000000000002E-5</v>
      </c>
      <c r="J742" s="191">
        <v>2.7399999999999998E-3</v>
      </c>
      <c r="K742" s="191">
        <v>0.29276000000000002</v>
      </c>
      <c r="L742" s="191">
        <v>0.28999999999999998</v>
      </c>
      <c r="M742" s="191">
        <v>2.0000000000000002E-5</v>
      </c>
      <c r="N742" s="191">
        <v>2.7399999999999998E-3</v>
      </c>
    </row>
    <row r="745" spans="3:37" ht="18">
      <c r="C745" s="195" t="s">
        <v>354</v>
      </c>
      <c r="D745" s="195" t="s">
        <v>369</v>
      </c>
      <c r="E745" s="195" t="s">
        <v>194</v>
      </c>
      <c r="F745" s="196" t="s">
        <v>413</v>
      </c>
      <c r="G745" s="196" t="s">
        <v>414</v>
      </c>
      <c r="H745" s="196" t="s">
        <v>415</v>
      </c>
      <c r="I745" s="196" t="s">
        <v>416</v>
      </c>
    </row>
    <row r="746" spans="3:37">
      <c r="C746" s="1029" t="s">
        <v>370</v>
      </c>
      <c r="D746" s="196" t="s">
        <v>371</v>
      </c>
      <c r="E746" s="196" t="s">
        <v>361</v>
      </c>
      <c r="F746" s="839">
        <v>1.8737999999999998E-2</v>
      </c>
      <c r="G746" s="839">
        <v>1.848E-2</v>
      </c>
      <c r="H746" s="839">
        <v>6.0000000000000002E-6</v>
      </c>
      <c r="I746" s="839">
        <v>2.52E-4</v>
      </c>
    </row>
    <row r="747" spans="3:37">
      <c r="C747" s="1029"/>
      <c r="D747" s="196" t="s">
        <v>372</v>
      </c>
      <c r="E747" s="196" t="s">
        <v>361</v>
      </c>
      <c r="F747" s="839">
        <v>0.12951799999999999</v>
      </c>
      <c r="G747" s="839">
        <v>0.12773899999999999</v>
      </c>
      <c r="H747" s="839">
        <v>3.8000000000000002E-5</v>
      </c>
      <c r="I747" s="839">
        <v>1.7409999999999999E-3</v>
      </c>
    </row>
    <row r="748" spans="3:37">
      <c r="C748" s="1029"/>
      <c r="D748" s="196" t="s">
        <v>373</v>
      </c>
      <c r="E748" s="196" t="s">
        <v>361</v>
      </c>
      <c r="F748" s="839">
        <v>0.112863</v>
      </c>
      <c r="G748" s="839">
        <v>0.111313</v>
      </c>
      <c r="H748" s="839">
        <v>3.3000000000000003E-5</v>
      </c>
      <c r="I748" s="839">
        <v>1.5169999999999999E-3</v>
      </c>
    </row>
    <row r="751" spans="3:37">
      <c r="C751" s="194"/>
      <c r="D751" s="194"/>
      <c r="E751" s="194"/>
      <c r="F751" s="1031" t="s">
        <v>374</v>
      </c>
      <c r="G751" s="1031"/>
      <c r="H751" s="1031"/>
      <c r="I751" s="1031"/>
      <c r="J751" s="1031" t="s">
        <v>375</v>
      </c>
      <c r="K751" s="1031"/>
      <c r="L751" s="1031"/>
      <c r="M751" s="1031"/>
      <c r="N751" s="1031" t="s">
        <v>379</v>
      </c>
      <c r="O751" s="1031"/>
      <c r="P751" s="1031"/>
      <c r="Q751" s="1031"/>
      <c r="R751" s="1031" t="s">
        <v>380</v>
      </c>
      <c r="S751" s="1031"/>
      <c r="T751" s="1031"/>
      <c r="U751" s="1031"/>
      <c r="V751" s="1031" t="s">
        <v>381</v>
      </c>
      <c r="W751" s="1031"/>
      <c r="X751" s="1031"/>
      <c r="Y751" s="1031"/>
      <c r="Z751" s="194"/>
      <c r="AA751" s="194"/>
      <c r="AB751" s="194"/>
      <c r="AC751" s="194"/>
      <c r="AD751" s="194"/>
      <c r="AE751" s="194"/>
      <c r="AF751" s="194"/>
      <c r="AG751" s="194"/>
      <c r="AH751" s="194"/>
      <c r="AI751" s="194"/>
      <c r="AJ751" s="194"/>
      <c r="AK751" s="194"/>
    </row>
    <row r="752" spans="3:37" ht="18">
      <c r="C752" s="195" t="s">
        <v>354</v>
      </c>
      <c r="D752" s="195" t="s">
        <v>369</v>
      </c>
      <c r="E752" s="195" t="s">
        <v>194</v>
      </c>
      <c r="F752" s="196" t="s">
        <v>413</v>
      </c>
      <c r="G752" s="196" t="s">
        <v>414</v>
      </c>
      <c r="H752" s="196" t="s">
        <v>415</v>
      </c>
      <c r="I752" s="196" t="s">
        <v>416</v>
      </c>
      <c r="J752" s="196" t="s">
        <v>413</v>
      </c>
      <c r="K752" s="196" t="s">
        <v>414</v>
      </c>
      <c r="L752" s="196" t="s">
        <v>415</v>
      </c>
      <c r="M752" s="196" t="s">
        <v>416</v>
      </c>
      <c r="N752" s="196" t="s">
        <v>413</v>
      </c>
      <c r="O752" s="196" t="s">
        <v>414</v>
      </c>
      <c r="P752" s="196" t="s">
        <v>415</v>
      </c>
      <c r="Q752" s="196" t="s">
        <v>416</v>
      </c>
      <c r="R752" s="196" t="s">
        <v>413</v>
      </c>
      <c r="S752" s="196" t="s">
        <v>414</v>
      </c>
      <c r="T752" s="196" t="s">
        <v>415</v>
      </c>
      <c r="U752" s="196" t="s">
        <v>416</v>
      </c>
      <c r="V752" s="196" t="s">
        <v>413</v>
      </c>
      <c r="W752" s="196" t="s">
        <v>414</v>
      </c>
      <c r="X752" s="196" t="s">
        <v>415</v>
      </c>
      <c r="Y752" s="196" t="s">
        <v>416</v>
      </c>
      <c r="Z752" s="194"/>
      <c r="AA752" s="194"/>
      <c r="AB752" s="194"/>
      <c r="AC752" s="194"/>
      <c r="AD752" s="194"/>
      <c r="AE752" s="194"/>
      <c r="AF752" s="194"/>
      <c r="AG752" s="194"/>
      <c r="AH752" s="194"/>
      <c r="AI752" s="194"/>
      <c r="AJ752" s="194"/>
      <c r="AK752" s="194"/>
    </row>
    <row r="753" spans="3:37">
      <c r="C753" s="1029" t="s">
        <v>1850</v>
      </c>
      <c r="D753" s="1029" t="s">
        <v>1851</v>
      </c>
      <c r="E753" s="196" t="s">
        <v>384</v>
      </c>
      <c r="F753" s="197">
        <v>0.11008999999999999</v>
      </c>
      <c r="G753" s="197">
        <v>0.10825</v>
      </c>
      <c r="H753" s="197">
        <v>4.3200000000000001E-6</v>
      </c>
      <c r="I753" s="197">
        <v>1.8400000000000001E-3</v>
      </c>
      <c r="J753" s="197">
        <v>0.13975000000000001</v>
      </c>
      <c r="K753" s="197">
        <v>0.13905000000000001</v>
      </c>
      <c r="L753" s="197">
        <v>3.2000000000000003E-4</v>
      </c>
      <c r="M753" s="197">
        <v>3.8000000000000002E-4</v>
      </c>
      <c r="N753" s="197">
        <v>0.13958000000000001</v>
      </c>
      <c r="O753" s="197">
        <v>0.13886999999999999</v>
      </c>
      <c r="P753" s="197">
        <v>3.2000000000000003E-4</v>
      </c>
      <c r="Q753" s="197">
        <v>3.8999999999999999E-4</v>
      </c>
      <c r="R753" s="206" t="s">
        <v>1852</v>
      </c>
      <c r="S753" s="206" t="s">
        <v>1852</v>
      </c>
      <c r="T753" s="206" t="s">
        <v>1852</v>
      </c>
      <c r="U753" s="206" t="s">
        <v>1852</v>
      </c>
      <c r="V753" s="206">
        <v>5.2350000000000001E-2</v>
      </c>
      <c r="W753" s="206">
        <v>5.194E-2</v>
      </c>
      <c r="X753" s="206">
        <v>1.2999999999999999E-4</v>
      </c>
      <c r="Y753" s="206">
        <v>2.7999999999999998E-4</v>
      </c>
      <c r="Z753" s="194"/>
      <c r="AA753" s="194"/>
      <c r="AB753" s="194"/>
      <c r="AC753" s="194"/>
      <c r="AD753" s="194"/>
      <c r="AE753" s="194"/>
      <c r="AF753" s="194"/>
      <c r="AG753" s="194"/>
      <c r="AH753" s="194"/>
      <c r="AI753" s="194"/>
      <c r="AJ753" s="194"/>
      <c r="AK753" s="194"/>
    </row>
    <row r="754" spans="3:37">
      <c r="C754" s="1029"/>
      <c r="D754" s="1029"/>
      <c r="E754" s="196" t="s">
        <v>385</v>
      </c>
      <c r="F754" s="197">
        <v>0.17719000000000001</v>
      </c>
      <c r="G754" s="197">
        <v>0.17421</v>
      </c>
      <c r="H754" s="197">
        <v>1.0000000000000001E-5</v>
      </c>
      <c r="I754" s="197">
        <v>2.97E-3</v>
      </c>
      <c r="J754" s="197">
        <v>0.22490000000000002</v>
      </c>
      <c r="K754" s="197">
        <v>0.22378000000000001</v>
      </c>
      <c r="L754" s="197">
        <v>5.1000000000000004E-4</v>
      </c>
      <c r="M754" s="197">
        <v>6.0999999999999997E-4</v>
      </c>
      <c r="N754" s="197">
        <v>0.22463</v>
      </c>
      <c r="O754" s="197">
        <v>0.22348999999999999</v>
      </c>
      <c r="P754" s="197">
        <v>5.1000000000000004E-4</v>
      </c>
      <c r="Q754" s="197">
        <v>6.3000000000000003E-4</v>
      </c>
      <c r="R754" s="206" t="s">
        <v>1852</v>
      </c>
      <c r="S754" s="206" t="s">
        <v>1852</v>
      </c>
      <c r="T754" s="206" t="s">
        <v>1852</v>
      </c>
      <c r="U754" s="206" t="s">
        <v>1852</v>
      </c>
      <c r="V754" s="206">
        <v>8.4250000000000005E-2</v>
      </c>
      <c r="W754" s="206">
        <v>8.3589999999999998E-2</v>
      </c>
      <c r="X754" s="206">
        <v>2.1000000000000001E-4</v>
      </c>
      <c r="Y754" s="206">
        <v>4.4999999999999999E-4</v>
      </c>
      <c r="Z754" s="194"/>
      <c r="AA754" s="194"/>
      <c r="AB754" s="194"/>
      <c r="AC754" s="194"/>
      <c r="AD754" s="194"/>
      <c r="AE754" s="194"/>
      <c r="AF754" s="194"/>
      <c r="AG754" s="194"/>
      <c r="AH754" s="194"/>
      <c r="AI754" s="194"/>
      <c r="AJ754" s="194"/>
      <c r="AK754" s="194"/>
    </row>
    <row r="755" spans="3:37">
      <c r="C755" s="1029"/>
      <c r="D755" s="1029" t="s">
        <v>1854</v>
      </c>
      <c r="E755" s="196" t="s">
        <v>384</v>
      </c>
      <c r="F755" s="197">
        <v>0.13449</v>
      </c>
      <c r="G755" s="197">
        <v>0.13264999999999999</v>
      </c>
      <c r="H755" s="197">
        <v>4.3200000000000001E-6</v>
      </c>
      <c r="I755" s="197">
        <v>1.8400000000000001E-3</v>
      </c>
      <c r="J755" s="197">
        <v>0.15537999999999999</v>
      </c>
      <c r="K755" s="197">
        <v>0.15468000000000001</v>
      </c>
      <c r="L755" s="197">
        <v>3.2000000000000003E-4</v>
      </c>
      <c r="M755" s="197">
        <v>3.8000000000000002E-4</v>
      </c>
      <c r="N755" s="197">
        <v>0.15240999999999999</v>
      </c>
      <c r="O755" s="197">
        <v>0.15154999999999999</v>
      </c>
      <c r="P755" s="197">
        <v>2.7E-4</v>
      </c>
      <c r="Q755" s="197">
        <v>5.9000000000000003E-4</v>
      </c>
      <c r="R755" s="206">
        <v>7.3470000000000008E-2</v>
      </c>
      <c r="S755" s="206">
        <v>7.2950000000000001E-2</v>
      </c>
      <c r="T755" s="206">
        <v>2.0000000000000001E-4</v>
      </c>
      <c r="U755" s="206">
        <v>3.2000000000000003E-4</v>
      </c>
      <c r="V755" s="206">
        <v>4.7880000000000006E-2</v>
      </c>
      <c r="W755" s="206">
        <v>4.7500000000000001E-2</v>
      </c>
      <c r="X755" s="206">
        <v>1.2E-4</v>
      </c>
      <c r="Y755" s="206">
        <v>2.5999999999999998E-4</v>
      </c>
      <c r="Z755" s="194"/>
      <c r="AA755" s="194"/>
      <c r="AB755" s="194"/>
      <c r="AC755" s="194"/>
      <c r="AD755" s="194"/>
      <c r="AE755" s="194"/>
      <c r="AF755" s="194"/>
      <c r="AG755" s="194"/>
      <c r="AH755" s="194"/>
      <c r="AI755" s="194"/>
      <c r="AJ755" s="194"/>
      <c r="AK755" s="194"/>
    </row>
    <row r="756" spans="3:37">
      <c r="C756" s="1029"/>
      <c r="D756" s="1029"/>
      <c r="E756" s="196" t="s">
        <v>385</v>
      </c>
      <c r="F756" s="197">
        <v>0.21647000000000002</v>
      </c>
      <c r="G756" s="197">
        <v>0.21349000000000001</v>
      </c>
      <c r="H756" s="197">
        <v>1.0000000000000001E-5</v>
      </c>
      <c r="I756" s="197">
        <v>2.97E-3</v>
      </c>
      <c r="J756" s="197">
        <v>0.25006</v>
      </c>
      <c r="K756" s="197">
        <v>0.24893999999999999</v>
      </c>
      <c r="L756" s="197">
        <v>5.1000000000000004E-4</v>
      </c>
      <c r="M756" s="197">
        <v>6.0999999999999997E-4</v>
      </c>
      <c r="N756" s="197">
        <v>0.24528</v>
      </c>
      <c r="O756" s="197">
        <v>0.24389</v>
      </c>
      <c r="P756" s="197">
        <v>4.4000000000000002E-4</v>
      </c>
      <c r="Q756" s="197">
        <v>9.5E-4</v>
      </c>
      <c r="R756" s="206">
        <v>0.11823</v>
      </c>
      <c r="S756" s="206">
        <v>0.1174</v>
      </c>
      <c r="T756" s="206">
        <v>3.2000000000000003E-4</v>
      </c>
      <c r="U756" s="206">
        <v>5.1000000000000004E-4</v>
      </c>
      <c r="V756" s="206">
        <v>7.7039999999999983E-2</v>
      </c>
      <c r="W756" s="206">
        <v>7.6439999999999994E-2</v>
      </c>
      <c r="X756" s="206">
        <v>1.9000000000000001E-4</v>
      </c>
      <c r="Y756" s="206">
        <v>4.0999999999999999E-4</v>
      </c>
      <c r="Z756" s="194"/>
      <c r="AA756" s="194"/>
      <c r="AB756" s="194"/>
      <c r="AC756" s="194"/>
      <c r="AD756" s="194"/>
      <c r="AE756" s="194"/>
      <c r="AF756" s="194"/>
      <c r="AG756" s="194"/>
      <c r="AH756" s="194"/>
      <c r="AI756" s="194"/>
      <c r="AJ756" s="194"/>
      <c r="AK756" s="194"/>
    </row>
    <row r="757" spans="3:37">
      <c r="C757" s="1029"/>
      <c r="D757" s="1029" t="s">
        <v>1855</v>
      </c>
      <c r="E757" s="196" t="s">
        <v>384</v>
      </c>
      <c r="F757" s="197">
        <v>0.14691000000000001</v>
      </c>
      <c r="G757" s="197">
        <v>0.14507</v>
      </c>
      <c r="H757" s="197">
        <v>4.3200000000000001E-6</v>
      </c>
      <c r="I757" s="197">
        <v>1.8400000000000001E-3</v>
      </c>
      <c r="J757" s="197">
        <v>0.18007999999999999</v>
      </c>
      <c r="K757" s="197">
        <v>0.17938000000000001</v>
      </c>
      <c r="L757" s="197">
        <v>3.2000000000000003E-4</v>
      </c>
      <c r="M757" s="197">
        <v>3.8000000000000002E-4</v>
      </c>
      <c r="N757" s="197">
        <v>0.16361999999999999</v>
      </c>
      <c r="O757" s="197">
        <v>0.16234999999999999</v>
      </c>
      <c r="P757" s="197">
        <v>1.6000000000000001E-4</v>
      </c>
      <c r="Q757" s="197">
        <v>1.1100000000000001E-3</v>
      </c>
      <c r="R757" s="206">
        <v>0.10104</v>
      </c>
      <c r="S757" s="206">
        <v>0.10037</v>
      </c>
      <c r="T757" s="206">
        <v>2.9E-4</v>
      </c>
      <c r="U757" s="206">
        <v>3.8000000000000002E-4</v>
      </c>
      <c r="V757" s="206">
        <v>5.7719999999999994E-2</v>
      </c>
      <c r="W757" s="206">
        <v>5.7259999999999998E-2</v>
      </c>
      <c r="X757" s="206">
        <v>1.4999999999999999E-4</v>
      </c>
      <c r="Y757" s="206">
        <v>3.1E-4</v>
      </c>
      <c r="Z757" s="194"/>
      <c r="AA757" s="194"/>
      <c r="AB757" s="194"/>
      <c r="AC757" s="194"/>
      <c r="AD757" s="194"/>
      <c r="AE757" s="194"/>
      <c r="AF757" s="194"/>
      <c r="AG757" s="194"/>
      <c r="AH757" s="194"/>
      <c r="AI757" s="194"/>
      <c r="AJ757" s="194"/>
      <c r="AK757" s="194"/>
    </row>
    <row r="758" spans="3:37">
      <c r="C758" s="1029"/>
      <c r="D758" s="1029"/>
      <c r="E758" s="196" t="s">
        <v>385</v>
      </c>
      <c r="F758" s="197">
        <v>0.23644000000000001</v>
      </c>
      <c r="G758" s="197">
        <v>0.23346</v>
      </c>
      <c r="H758" s="197">
        <v>1.0000000000000001E-5</v>
      </c>
      <c r="I758" s="197">
        <v>2.97E-3</v>
      </c>
      <c r="J758" s="197">
        <v>0.2898</v>
      </c>
      <c r="K758" s="197">
        <v>0.28867999999999999</v>
      </c>
      <c r="L758" s="197">
        <v>5.1000000000000004E-4</v>
      </c>
      <c r="M758" s="197">
        <v>6.0999999999999997E-4</v>
      </c>
      <c r="N758" s="197">
        <v>0.26332</v>
      </c>
      <c r="O758" s="197">
        <v>0.26128000000000001</v>
      </c>
      <c r="P758" s="197">
        <v>2.5999999999999998E-4</v>
      </c>
      <c r="Q758" s="197">
        <v>1.7799999999999999E-3</v>
      </c>
      <c r="R758" s="206">
        <v>0.16259999999999999</v>
      </c>
      <c r="S758" s="206">
        <v>0.16152</v>
      </c>
      <c r="T758" s="206">
        <v>4.6999999999999999E-4</v>
      </c>
      <c r="U758" s="206">
        <v>6.0999999999999997E-4</v>
      </c>
      <c r="V758" s="206">
        <v>9.287999999999999E-2</v>
      </c>
      <c r="W758" s="206">
        <v>9.2149999999999996E-2</v>
      </c>
      <c r="X758" s="206">
        <v>2.3000000000000001E-4</v>
      </c>
      <c r="Y758" s="206">
        <v>5.0000000000000001E-4</v>
      </c>
      <c r="Z758" s="194"/>
      <c r="AA758" s="194"/>
      <c r="AB758" s="194"/>
      <c r="AC758" s="194"/>
      <c r="AD758" s="194"/>
      <c r="AE758" s="194"/>
      <c r="AF758" s="194"/>
      <c r="AG758" s="194"/>
      <c r="AH758" s="194"/>
      <c r="AI758" s="194"/>
      <c r="AJ758" s="194"/>
      <c r="AK758" s="194"/>
    </row>
    <row r="759" spans="3:37">
      <c r="C759" s="1029"/>
      <c r="D759" s="1029" t="s">
        <v>1857</v>
      </c>
      <c r="E759" s="196" t="s">
        <v>384</v>
      </c>
      <c r="F759" s="197">
        <v>0.16533</v>
      </c>
      <c r="G759" s="197">
        <v>0.16349</v>
      </c>
      <c r="H759" s="197">
        <v>4.3200000000000001E-6</v>
      </c>
      <c r="I759" s="197">
        <v>1.8400000000000001E-3</v>
      </c>
      <c r="J759" s="197">
        <v>0.20791999999999999</v>
      </c>
      <c r="K759" s="197">
        <v>0.20721999999999999</v>
      </c>
      <c r="L759" s="197">
        <v>3.2000000000000003E-4</v>
      </c>
      <c r="M759" s="197">
        <v>3.8000000000000002E-4</v>
      </c>
      <c r="N759" s="197">
        <v>0.17537</v>
      </c>
      <c r="O759" s="197">
        <v>0.17379</v>
      </c>
      <c r="P759" s="197">
        <v>8.0000000000000007E-5</v>
      </c>
      <c r="Q759" s="197">
        <v>1.5E-3</v>
      </c>
      <c r="R759" s="206">
        <v>0.11448000000000001</v>
      </c>
      <c r="S759" s="206">
        <v>0.11371000000000001</v>
      </c>
      <c r="T759" s="206">
        <v>3.2000000000000003E-4</v>
      </c>
      <c r="U759" s="206">
        <v>4.4999999999999999E-4</v>
      </c>
      <c r="V759" s="206">
        <v>4.6589999999999999E-2</v>
      </c>
      <c r="W759" s="206">
        <v>4.6219999999999997E-2</v>
      </c>
      <c r="X759" s="206">
        <v>1.2E-4</v>
      </c>
      <c r="Y759" s="206">
        <v>2.5000000000000001E-4</v>
      </c>
      <c r="Z759" s="194"/>
      <c r="AA759" s="194"/>
      <c r="AB759" s="194"/>
      <c r="AC759" s="194"/>
      <c r="AD759" s="194"/>
      <c r="AE759" s="194"/>
      <c r="AF759" s="194"/>
      <c r="AG759" s="194"/>
      <c r="AH759" s="194"/>
      <c r="AI759" s="194"/>
      <c r="AJ759" s="194"/>
      <c r="AK759" s="194"/>
    </row>
    <row r="760" spans="3:37">
      <c r="C760" s="1029"/>
      <c r="D760" s="1029"/>
      <c r="E760" s="196" t="s">
        <v>385</v>
      </c>
      <c r="F760" s="197">
        <v>0.2661</v>
      </c>
      <c r="G760" s="197">
        <v>0.26312000000000002</v>
      </c>
      <c r="H760" s="197">
        <v>1.0000000000000001E-5</v>
      </c>
      <c r="I760" s="197">
        <v>2.97E-3</v>
      </c>
      <c r="J760" s="197">
        <v>0.33461000000000002</v>
      </c>
      <c r="K760" s="197">
        <v>0.33349000000000001</v>
      </c>
      <c r="L760" s="197">
        <v>5.1000000000000004E-4</v>
      </c>
      <c r="M760" s="197">
        <v>6.0999999999999997E-4</v>
      </c>
      <c r="N760" s="197">
        <v>0.28223000000000004</v>
      </c>
      <c r="O760" s="197">
        <v>0.27968999999999999</v>
      </c>
      <c r="P760" s="197">
        <v>1.2999999999999999E-4</v>
      </c>
      <c r="Q760" s="197">
        <v>2.4099999999999998E-3</v>
      </c>
      <c r="R760" s="206">
        <v>0.18426000000000001</v>
      </c>
      <c r="S760" s="206">
        <v>0.18301000000000001</v>
      </c>
      <c r="T760" s="206">
        <v>5.1999999999999995E-4</v>
      </c>
      <c r="U760" s="206">
        <v>7.2999999999999996E-4</v>
      </c>
      <c r="V760" s="206">
        <v>7.4969999999999995E-2</v>
      </c>
      <c r="W760" s="206">
        <v>7.4380000000000002E-2</v>
      </c>
      <c r="X760" s="206">
        <v>1.9000000000000001E-4</v>
      </c>
      <c r="Y760" s="206">
        <v>4.0000000000000002E-4</v>
      </c>
      <c r="Z760" s="194"/>
      <c r="AA760" s="194"/>
      <c r="AB760" s="194"/>
      <c r="AC760" s="194"/>
      <c r="AD760" s="194"/>
      <c r="AE760" s="194"/>
      <c r="AF760" s="194"/>
      <c r="AG760" s="194"/>
      <c r="AH760" s="194"/>
      <c r="AI760" s="194"/>
      <c r="AJ760" s="194"/>
      <c r="AK760" s="194"/>
    </row>
    <row r="761" spans="3:37">
      <c r="C761" s="1029"/>
      <c r="D761" s="1029" t="s">
        <v>1858</v>
      </c>
      <c r="E761" s="196" t="s">
        <v>384</v>
      </c>
      <c r="F761" s="197">
        <v>0.17524999999999999</v>
      </c>
      <c r="G761" s="197">
        <v>0.17341000000000001</v>
      </c>
      <c r="H761" s="197">
        <v>4.3200000000000001E-6</v>
      </c>
      <c r="I761" s="197">
        <v>1.8400000000000001E-3</v>
      </c>
      <c r="J761" s="197">
        <v>0.23658999999999999</v>
      </c>
      <c r="K761" s="197">
        <v>0.23588999999999999</v>
      </c>
      <c r="L761" s="197">
        <v>3.2000000000000003E-4</v>
      </c>
      <c r="M761" s="197">
        <v>3.8000000000000002E-4</v>
      </c>
      <c r="N761" s="197">
        <v>0.18909000000000001</v>
      </c>
      <c r="O761" s="197">
        <v>0.1875</v>
      </c>
      <c r="P761" s="197">
        <v>8.0000000000000007E-5</v>
      </c>
      <c r="Q761" s="197">
        <v>1.5100000000000001E-3</v>
      </c>
      <c r="R761" s="206">
        <v>0.12417</v>
      </c>
      <c r="S761" s="206">
        <v>0.12335</v>
      </c>
      <c r="T761" s="206">
        <v>3.5E-4</v>
      </c>
      <c r="U761" s="206">
        <v>4.6999999999999999E-4</v>
      </c>
      <c r="V761" s="206" t="s">
        <v>1852</v>
      </c>
      <c r="W761" s="206" t="s">
        <v>1852</v>
      </c>
      <c r="X761" s="206" t="s">
        <v>1852</v>
      </c>
      <c r="Y761" s="206" t="s">
        <v>1852</v>
      </c>
      <c r="Z761" s="194"/>
      <c r="AA761" s="194"/>
      <c r="AB761" s="194"/>
      <c r="AC761" s="194"/>
      <c r="AD761" s="194"/>
      <c r="AE761" s="194"/>
      <c r="AF761" s="194"/>
      <c r="AG761" s="194"/>
      <c r="AH761" s="194"/>
      <c r="AI761" s="194"/>
      <c r="AJ761" s="194"/>
      <c r="AK761" s="194"/>
    </row>
    <row r="762" spans="3:37">
      <c r="C762" s="1029"/>
      <c r="D762" s="1029"/>
      <c r="E762" s="196" t="s">
        <v>385</v>
      </c>
      <c r="F762" s="197">
        <v>0.28205999999999998</v>
      </c>
      <c r="G762" s="197">
        <v>0.27907999999999999</v>
      </c>
      <c r="H762" s="197">
        <v>1.0000000000000001E-5</v>
      </c>
      <c r="I762" s="197">
        <v>2.97E-3</v>
      </c>
      <c r="J762" s="197">
        <v>0.38075000000000003</v>
      </c>
      <c r="K762" s="197">
        <v>0.37963000000000002</v>
      </c>
      <c r="L762" s="197">
        <v>5.1000000000000004E-4</v>
      </c>
      <c r="M762" s="197">
        <v>6.0999999999999997E-4</v>
      </c>
      <c r="N762" s="197">
        <v>0.30431999999999998</v>
      </c>
      <c r="O762" s="197">
        <v>0.30175999999999997</v>
      </c>
      <c r="P762" s="197">
        <v>1.2E-4</v>
      </c>
      <c r="Q762" s="197">
        <v>2.4399999999999999E-3</v>
      </c>
      <c r="R762" s="206">
        <v>0.19983999999999999</v>
      </c>
      <c r="S762" s="206">
        <v>0.19850999999999999</v>
      </c>
      <c r="T762" s="206">
        <v>5.6999999999999998E-4</v>
      </c>
      <c r="U762" s="206">
        <v>7.6000000000000004E-4</v>
      </c>
      <c r="V762" s="206" t="s">
        <v>1852</v>
      </c>
      <c r="W762" s="206" t="s">
        <v>1852</v>
      </c>
      <c r="X762" s="206" t="s">
        <v>1852</v>
      </c>
      <c r="Y762" s="206" t="s">
        <v>1852</v>
      </c>
      <c r="Z762" s="194"/>
      <c r="AA762" s="194"/>
      <c r="AB762" s="194"/>
      <c r="AC762" s="194"/>
      <c r="AD762" s="194"/>
      <c r="AE762" s="194"/>
      <c r="AF762" s="194"/>
      <c r="AG762" s="194"/>
      <c r="AH762" s="194"/>
      <c r="AI762" s="194"/>
      <c r="AJ762" s="194"/>
      <c r="AK762" s="194"/>
    </row>
    <row r="763" spans="3:37">
      <c r="C763" s="1029"/>
      <c r="D763" s="1029" t="s">
        <v>1859</v>
      </c>
      <c r="E763" s="196" t="s">
        <v>384</v>
      </c>
      <c r="F763" s="197">
        <v>0.21285999999999999</v>
      </c>
      <c r="G763" s="197">
        <v>0.21102000000000001</v>
      </c>
      <c r="H763" s="197">
        <v>4.3200000000000001E-6</v>
      </c>
      <c r="I763" s="197">
        <v>1.8400000000000001E-3</v>
      </c>
      <c r="J763" s="197">
        <v>0.33566000000000001</v>
      </c>
      <c r="K763" s="197">
        <v>0.33495999999999998</v>
      </c>
      <c r="L763" s="197">
        <v>3.2000000000000003E-4</v>
      </c>
      <c r="M763" s="197">
        <v>3.8000000000000002E-4</v>
      </c>
      <c r="N763" s="197">
        <v>0.26918999999999998</v>
      </c>
      <c r="O763" s="197">
        <v>0.26787</v>
      </c>
      <c r="P763" s="197">
        <v>1.4999999999999999E-4</v>
      </c>
      <c r="Q763" s="197">
        <v>1.17E-3</v>
      </c>
      <c r="R763" s="206">
        <v>0.14588000000000001</v>
      </c>
      <c r="S763" s="206">
        <v>0.14491999999999999</v>
      </c>
      <c r="T763" s="206">
        <v>4.2000000000000002E-4</v>
      </c>
      <c r="U763" s="206">
        <v>5.4000000000000001E-4</v>
      </c>
      <c r="V763" s="206">
        <v>7.0269999999999999E-2</v>
      </c>
      <c r="W763" s="206">
        <v>6.9709999999999994E-2</v>
      </c>
      <c r="X763" s="206">
        <v>1.8000000000000001E-4</v>
      </c>
      <c r="Y763" s="206">
        <v>3.8000000000000002E-4</v>
      </c>
      <c r="Z763" s="194"/>
      <c r="AA763" s="194"/>
      <c r="AB763" s="194"/>
      <c r="AC763" s="194"/>
      <c r="AD763" s="194"/>
      <c r="AE763" s="194"/>
      <c r="AF763" s="194"/>
      <c r="AG763" s="194"/>
      <c r="AH763" s="194"/>
      <c r="AI763" s="194"/>
      <c r="AJ763" s="194"/>
      <c r="AK763" s="194"/>
    </row>
    <row r="764" spans="3:37">
      <c r="C764" s="1029"/>
      <c r="D764" s="1029"/>
      <c r="E764" s="196" t="s">
        <v>385</v>
      </c>
      <c r="F764" s="197">
        <v>0.34258</v>
      </c>
      <c r="G764" s="197">
        <v>0.33960000000000001</v>
      </c>
      <c r="H764" s="197">
        <v>1.0000000000000001E-5</v>
      </c>
      <c r="I764" s="197">
        <v>2.97E-3</v>
      </c>
      <c r="J764" s="197">
        <v>0.54019000000000006</v>
      </c>
      <c r="K764" s="197">
        <v>0.53907000000000005</v>
      </c>
      <c r="L764" s="197">
        <v>5.1000000000000004E-4</v>
      </c>
      <c r="M764" s="197">
        <v>6.0999999999999997E-4</v>
      </c>
      <c r="N764" s="197">
        <v>0.43321999999999999</v>
      </c>
      <c r="O764" s="197">
        <v>0.43108999999999997</v>
      </c>
      <c r="P764" s="197">
        <v>2.4000000000000001E-4</v>
      </c>
      <c r="Q764" s="197">
        <v>1.89E-3</v>
      </c>
      <c r="R764" s="206">
        <v>0.23477000000000001</v>
      </c>
      <c r="S764" s="206">
        <v>0.23322999999999999</v>
      </c>
      <c r="T764" s="206">
        <v>6.8000000000000005E-4</v>
      </c>
      <c r="U764" s="206">
        <v>8.5999999999999998E-4</v>
      </c>
      <c r="V764" s="206">
        <v>0.11309</v>
      </c>
      <c r="W764" s="206">
        <v>0.11219</v>
      </c>
      <c r="X764" s="206">
        <v>2.9E-4</v>
      </c>
      <c r="Y764" s="206">
        <v>6.0999999999999997E-4</v>
      </c>
      <c r="Z764" s="194"/>
      <c r="AA764" s="194"/>
      <c r="AB764" s="194"/>
      <c r="AC764" s="194"/>
      <c r="AD764" s="194"/>
      <c r="AE764" s="194"/>
      <c r="AF764" s="194"/>
      <c r="AG764" s="194"/>
      <c r="AH764" s="194"/>
      <c r="AI764" s="194"/>
      <c r="AJ764" s="194"/>
      <c r="AK764" s="194"/>
    </row>
    <row r="765" spans="3:37">
      <c r="C765" s="1029"/>
      <c r="D765" s="1029" t="s">
        <v>1862</v>
      </c>
      <c r="E765" s="196" t="s">
        <v>384</v>
      </c>
      <c r="F765" s="197">
        <v>0.17332</v>
      </c>
      <c r="G765" s="197">
        <v>0.17147999999999999</v>
      </c>
      <c r="H765" s="197">
        <v>4.3200000000000001E-6</v>
      </c>
      <c r="I765" s="197">
        <v>1.8400000000000001E-3</v>
      </c>
      <c r="J765" s="197">
        <v>0.246</v>
      </c>
      <c r="K765" s="197">
        <v>0.24529999999999999</v>
      </c>
      <c r="L765" s="197">
        <v>3.2000000000000003E-4</v>
      </c>
      <c r="M765" s="197">
        <v>3.8000000000000002E-4</v>
      </c>
      <c r="N765" s="197">
        <v>0.23441000000000001</v>
      </c>
      <c r="O765" s="197">
        <v>0.23352999999999999</v>
      </c>
      <c r="P765" s="197">
        <v>2.7E-4</v>
      </c>
      <c r="Q765" s="197">
        <v>6.0999999999999997E-4</v>
      </c>
      <c r="R765" s="206">
        <v>0.11894999999999999</v>
      </c>
      <c r="S765" s="206">
        <v>0.11817999999999999</v>
      </c>
      <c r="T765" s="206">
        <v>3.4000000000000002E-4</v>
      </c>
      <c r="U765" s="206">
        <v>4.2999999999999999E-4</v>
      </c>
      <c r="V765" s="206">
        <v>8.9679999999999982E-2</v>
      </c>
      <c r="W765" s="206">
        <v>8.8969999999999994E-2</v>
      </c>
      <c r="X765" s="206">
        <v>2.3000000000000001E-4</v>
      </c>
      <c r="Y765" s="206">
        <v>4.8000000000000001E-4</v>
      </c>
      <c r="Z765" s="194"/>
      <c r="AA765" s="194"/>
      <c r="AB765" s="194"/>
      <c r="AC765" s="194"/>
      <c r="AD765" s="194"/>
      <c r="AE765" s="194"/>
      <c r="AF765" s="194"/>
      <c r="AG765" s="194"/>
      <c r="AH765" s="194"/>
      <c r="AI765" s="194"/>
      <c r="AJ765" s="194"/>
      <c r="AK765" s="194"/>
    </row>
    <row r="766" spans="3:37">
      <c r="C766" s="1029"/>
      <c r="D766" s="1029"/>
      <c r="E766" s="196" t="s">
        <v>385</v>
      </c>
      <c r="F766" s="197">
        <v>0.27894999999999998</v>
      </c>
      <c r="G766" s="197">
        <v>0.27596999999999999</v>
      </c>
      <c r="H766" s="197">
        <v>1.0000000000000001E-5</v>
      </c>
      <c r="I766" s="197">
        <v>2.97E-3</v>
      </c>
      <c r="J766" s="197">
        <v>0.39590000000000003</v>
      </c>
      <c r="K766" s="197">
        <v>0.39478000000000002</v>
      </c>
      <c r="L766" s="197">
        <v>5.1000000000000004E-4</v>
      </c>
      <c r="M766" s="197">
        <v>6.0999999999999997E-4</v>
      </c>
      <c r="N766" s="197">
        <v>0.37723999999999996</v>
      </c>
      <c r="O766" s="197">
        <v>0.37581999999999999</v>
      </c>
      <c r="P766" s="197">
        <v>4.2999999999999999E-4</v>
      </c>
      <c r="Q766" s="197">
        <v>9.8999999999999999E-4</v>
      </c>
      <c r="R766" s="206">
        <v>0.19144</v>
      </c>
      <c r="S766" s="206">
        <v>0.19019</v>
      </c>
      <c r="T766" s="206">
        <v>5.5000000000000003E-4</v>
      </c>
      <c r="U766" s="206">
        <v>6.9999999999999999E-4</v>
      </c>
      <c r="V766" s="206">
        <v>0.14432</v>
      </c>
      <c r="W766" s="206">
        <v>0.14318</v>
      </c>
      <c r="X766" s="206">
        <v>3.6000000000000002E-4</v>
      </c>
      <c r="Y766" s="206">
        <v>7.7999999999999999E-4</v>
      </c>
      <c r="Z766" s="194"/>
      <c r="AA766" s="194"/>
      <c r="AB766" s="194"/>
      <c r="AC766" s="194"/>
      <c r="AD766" s="194"/>
      <c r="AE766" s="194"/>
      <c r="AF766" s="194"/>
      <c r="AG766" s="194"/>
      <c r="AH766" s="194"/>
      <c r="AI766" s="194"/>
      <c r="AJ766" s="194"/>
      <c r="AK766" s="194"/>
    </row>
    <row r="767" spans="3:37">
      <c r="C767" s="1029"/>
      <c r="D767" s="1029" t="s">
        <v>1863</v>
      </c>
      <c r="E767" s="196" t="s">
        <v>384</v>
      </c>
      <c r="F767" s="197">
        <v>0.20257</v>
      </c>
      <c r="G767" s="197">
        <v>0.20072999999999999</v>
      </c>
      <c r="H767" s="197">
        <v>4.3200000000000001E-6</v>
      </c>
      <c r="I767" s="197">
        <v>1.8400000000000001E-3</v>
      </c>
      <c r="J767" s="197">
        <v>0.23663000000000001</v>
      </c>
      <c r="K767" s="197">
        <v>0.23593</v>
      </c>
      <c r="L767" s="197">
        <v>3.2000000000000003E-4</v>
      </c>
      <c r="M767" s="197">
        <v>3.8000000000000002E-4</v>
      </c>
      <c r="N767" s="197">
        <v>0.20924999999999999</v>
      </c>
      <c r="O767" s="197">
        <v>0.20762</v>
      </c>
      <c r="P767" s="197">
        <v>6.9999999999999994E-5</v>
      </c>
      <c r="Q767" s="197">
        <v>1.56E-3</v>
      </c>
      <c r="R767" s="206">
        <v>0.12501999999999999</v>
      </c>
      <c r="S767" s="206">
        <v>0.12418999999999999</v>
      </c>
      <c r="T767" s="206">
        <v>3.5E-4</v>
      </c>
      <c r="U767" s="206">
        <v>4.8000000000000001E-4</v>
      </c>
      <c r="V767" s="206">
        <v>8.0329999999999999E-2</v>
      </c>
      <c r="W767" s="206">
        <v>7.9699999999999993E-2</v>
      </c>
      <c r="X767" s="206">
        <v>2.0000000000000001E-4</v>
      </c>
      <c r="Y767" s="206">
        <v>4.2999999999999999E-4</v>
      </c>
      <c r="Z767" s="194"/>
      <c r="AA767" s="194"/>
      <c r="AB767" s="194"/>
      <c r="AC767" s="194"/>
      <c r="AD767" s="194"/>
      <c r="AE767" s="194"/>
      <c r="AF767" s="194"/>
      <c r="AG767" s="194"/>
      <c r="AH767" s="194"/>
      <c r="AI767" s="194"/>
      <c r="AJ767" s="194"/>
      <c r="AK767" s="194"/>
    </row>
    <row r="768" spans="3:37">
      <c r="C768" s="1029"/>
      <c r="D768" s="1029"/>
      <c r="E768" s="196" t="s">
        <v>385</v>
      </c>
      <c r="F768" s="197">
        <v>0.32601999999999998</v>
      </c>
      <c r="G768" s="197">
        <v>0.32303999999999999</v>
      </c>
      <c r="H768" s="197">
        <v>1.0000000000000001E-5</v>
      </c>
      <c r="I768" s="197">
        <v>2.97E-3</v>
      </c>
      <c r="J768" s="197">
        <v>0.38081000000000004</v>
      </c>
      <c r="K768" s="197">
        <v>0.37969000000000003</v>
      </c>
      <c r="L768" s="197">
        <v>5.1000000000000004E-4</v>
      </c>
      <c r="M768" s="197">
        <v>6.0999999999999997E-4</v>
      </c>
      <c r="N768" s="197">
        <v>0.33674999999999999</v>
      </c>
      <c r="O768" s="197">
        <v>0.33412999999999998</v>
      </c>
      <c r="P768" s="197">
        <v>1.1E-4</v>
      </c>
      <c r="Q768" s="197">
        <v>2.5100000000000001E-3</v>
      </c>
      <c r="R768" s="206">
        <v>0.20121</v>
      </c>
      <c r="S768" s="206">
        <v>0.19986000000000001</v>
      </c>
      <c r="T768" s="206">
        <v>5.6999999999999998E-4</v>
      </c>
      <c r="U768" s="206">
        <v>7.7999999999999999E-4</v>
      </c>
      <c r="V768" s="206">
        <v>0.12928999999999999</v>
      </c>
      <c r="W768" s="206">
        <v>0.12827</v>
      </c>
      <c r="X768" s="206">
        <v>3.3E-4</v>
      </c>
      <c r="Y768" s="206">
        <v>6.8999999999999997E-4</v>
      </c>
      <c r="Z768" s="194"/>
      <c r="AA768" s="194"/>
      <c r="AB768" s="194"/>
      <c r="AC768" s="194"/>
      <c r="AD768" s="194"/>
      <c r="AE768" s="194"/>
      <c r="AF768" s="194"/>
      <c r="AG768" s="194"/>
      <c r="AH768" s="194"/>
      <c r="AI768" s="194"/>
      <c r="AJ768" s="194"/>
      <c r="AK768" s="194"/>
    </row>
    <row r="769" spans="3:37">
      <c r="C769" s="1029"/>
      <c r="D769" s="1029" t="s">
        <v>1865</v>
      </c>
      <c r="E769" s="196" t="s">
        <v>384</v>
      </c>
      <c r="F769" s="197">
        <v>0.18101</v>
      </c>
      <c r="G769" s="197">
        <v>0.17917</v>
      </c>
      <c r="H769" s="197">
        <v>4.3200000000000001E-6</v>
      </c>
      <c r="I769" s="197">
        <v>1.8400000000000001E-3</v>
      </c>
      <c r="J769" s="197">
        <v>0.19939999999999999</v>
      </c>
      <c r="K769" s="197">
        <v>0.19869999999999999</v>
      </c>
      <c r="L769" s="197">
        <v>3.2000000000000003E-4</v>
      </c>
      <c r="M769" s="197">
        <v>3.8000000000000002E-4</v>
      </c>
      <c r="N769" s="197">
        <v>0.18609999999999999</v>
      </c>
      <c r="O769" s="197">
        <v>0.18457000000000001</v>
      </c>
      <c r="P769" s="197">
        <v>9.0000000000000006E-5</v>
      </c>
      <c r="Q769" s="197">
        <v>1.4400000000000001E-3</v>
      </c>
      <c r="R769" s="206" t="s">
        <v>1852</v>
      </c>
      <c r="S769" s="206" t="s">
        <v>1852</v>
      </c>
      <c r="T769" s="206" t="s">
        <v>1852</v>
      </c>
      <c r="U769" s="206" t="s">
        <v>1852</v>
      </c>
      <c r="V769" s="206">
        <v>6.4039999999999986E-2</v>
      </c>
      <c r="W769" s="206">
        <v>6.3539999999999999E-2</v>
      </c>
      <c r="X769" s="206">
        <v>1.6000000000000001E-4</v>
      </c>
      <c r="Y769" s="206">
        <v>3.4000000000000002E-4</v>
      </c>
      <c r="Z769" s="194"/>
      <c r="AA769" s="194"/>
      <c r="AB769" s="194"/>
      <c r="AC769" s="194"/>
      <c r="AD769" s="194"/>
      <c r="AE769" s="194"/>
      <c r="AF769" s="194"/>
      <c r="AG769" s="194"/>
      <c r="AH769" s="194"/>
      <c r="AI769" s="194"/>
      <c r="AJ769" s="194"/>
      <c r="AK769" s="194"/>
    </row>
    <row r="770" spans="3:37">
      <c r="C770" s="1029"/>
      <c r="D770" s="1029"/>
      <c r="E770" s="196" t="s">
        <v>385</v>
      </c>
      <c r="F770" s="197">
        <v>0.29132999999999998</v>
      </c>
      <c r="G770" s="197">
        <v>0.28835</v>
      </c>
      <c r="H770" s="197">
        <v>1.0000000000000001E-5</v>
      </c>
      <c r="I770" s="197">
        <v>2.97E-3</v>
      </c>
      <c r="J770" s="197">
        <v>0.32089000000000001</v>
      </c>
      <c r="K770" s="197">
        <v>0.31977</v>
      </c>
      <c r="L770" s="197">
        <v>5.1000000000000004E-4</v>
      </c>
      <c r="M770" s="197">
        <v>6.0999999999999997E-4</v>
      </c>
      <c r="N770" s="197">
        <v>0.29951</v>
      </c>
      <c r="O770" s="197">
        <v>0.29704000000000003</v>
      </c>
      <c r="P770" s="197">
        <v>1.4999999999999999E-4</v>
      </c>
      <c r="Q770" s="197">
        <v>2.32E-3</v>
      </c>
      <c r="R770" s="206" t="s">
        <v>1852</v>
      </c>
      <c r="S770" s="206" t="s">
        <v>1852</v>
      </c>
      <c r="T770" s="206" t="s">
        <v>1852</v>
      </c>
      <c r="U770" s="206" t="s">
        <v>1852</v>
      </c>
      <c r="V770" s="206">
        <v>0.10305999999999998</v>
      </c>
      <c r="W770" s="206">
        <v>0.10224999999999999</v>
      </c>
      <c r="X770" s="206">
        <v>2.5999999999999998E-4</v>
      </c>
      <c r="Y770" s="206">
        <v>5.5000000000000003E-4</v>
      </c>
      <c r="Z770" s="194"/>
      <c r="AA770" s="194"/>
      <c r="AB770" s="194"/>
      <c r="AC770" s="194"/>
      <c r="AD770" s="194"/>
      <c r="AE770" s="194"/>
      <c r="AF770" s="194"/>
      <c r="AG770" s="194"/>
      <c r="AH770" s="194"/>
      <c r="AI770" s="194"/>
      <c r="AJ770" s="194"/>
      <c r="AK770" s="194"/>
    </row>
    <row r="771" spans="3:37">
      <c r="C771" s="194"/>
      <c r="D771" s="194"/>
      <c r="E771" s="194"/>
      <c r="F771" s="194"/>
      <c r="G771" s="194"/>
      <c r="H771" s="194"/>
      <c r="I771" s="194"/>
      <c r="J771" s="194"/>
      <c r="K771" s="194"/>
      <c r="L771" s="194"/>
      <c r="M771" s="194"/>
      <c r="N771" s="194"/>
      <c r="O771" s="194"/>
      <c r="P771" s="194"/>
      <c r="Q771" s="194"/>
      <c r="R771" s="194"/>
      <c r="S771" s="194"/>
      <c r="T771" s="194"/>
      <c r="U771" s="194"/>
      <c r="V771" s="194"/>
      <c r="W771" s="194"/>
      <c r="X771" s="194"/>
      <c r="Y771" s="194"/>
      <c r="Z771" s="194"/>
      <c r="AA771" s="194"/>
      <c r="AB771" s="194"/>
      <c r="AC771" s="194"/>
      <c r="AD771" s="194"/>
      <c r="AE771" s="194"/>
      <c r="AF771" s="194"/>
      <c r="AG771" s="194"/>
      <c r="AH771" s="194"/>
      <c r="AI771" s="194"/>
      <c r="AJ771" s="194"/>
      <c r="AK771" s="194"/>
    </row>
    <row r="772" spans="3:37">
      <c r="C772" s="194"/>
      <c r="D772" s="194"/>
      <c r="E772" s="194"/>
      <c r="F772" s="194"/>
      <c r="G772" s="194"/>
      <c r="H772" s="194"/>
      <c r="I772" s="194"/>
      <c r="J772" s="194"/>
      <c r="K772" s="194"/>
      <c r="L772" s="194"/>
      <c r="M772" s="194"/>
      <c r="N772" s="194"/>
      <c r="O772" s="194"/>
      <c r="P772" s="194"/>
      <c r="Q772" s="194"/>
      <c r="R772" s="194"/>
      <c r="S772" s="194"/>
      <c r="T772" s="194"/>
      <c r="U772" s="194"/>
      <c r="V772" s="194"/>
      <c r="W772" s="194"/>
      <c r="X772" s="194"/>
      <c r="Y772" s="194"/>
      <c r="Z772" s="194"/>
      <c r="AA772" s="194"/>
      <c r="AB772" s="194"/>
      <c r="AC772" s="194"/>
      <c r="AD772" s="194"/>
      <c r="AE772" s="194"/>
      <c r="AF772" s="194"/>
      <c r="AG772" s="194"/>
      <c r="AH772" s="194"/>
      <c r="AI772" s="194"/>
      <c r="AJ772" s="194"/>
      <c r="AK772" s="194"/>
    </row>
    <row r="773" spans="3:37">
      <c r="C773" s="194"/>
      <c r="D773" s="194"/>
      <c r="E773" s="194"/>
      <c r="F773" s="1031" t="s">
        <v>374</v>
      </c>
      <c r="G773" s="1031"/>
      <c r="H773" s="1031"/>
      <c r="I773" s="1031"/>
      <c r="J773" s="1031" t="s">
        <v>375</v>
      </c>
      <c r="K773" s="1031"/>
      <c r="L773" s="1031"/>
      <c r="M773" s="1031"/>
      <c r="N773" s="1031" t="s">
        <v>376</v>
      </c>
      <c r="O773" s="1031"/>
      <c r="P773" s="1031"/>
      <c r="Q773" s="1031"/>
      <c r="R773" s="1031" t="s">
        <v>377</v>
      </c>
      <c r="S773" s="1031"/>
      <c r="T773" s="1031"/>
      <c r="U773" s="1031"/>
      <c r="V773" s="1031" t="s">
        <v>378</v>
      </c>
      <c r="W773" s="1031"/>
      <c r="X773" s="1031"/>
      <c r="Y773" s="1031"/>
      <c r="Z773" s="1031" t="s">
        <v>379</v>
      </c>
      <c r="AA773" s="1031"/>
      <c r="AB773" s="1031"/>
      <c r="AC773" s="1052"/>
      <c r="AD773" s="1049" t="s">
        <v>380</v>
      </c>
      <c r="AE773" s="1050"/>
      <c r="AF773" s="1050"/>
      <c r="AG773" s="1051"/>
      <c r="AH773" s="1049" t="s">
        <v>381</v>
      </c>
      <c r="AI773" s="1050"/>
      <c r="AJ773" s="1050"/>
      <c r="AK773" s="1051"/>
    </row>
    <row r="774" spans="3:37" ht="18">
      <c r="C774" s="195" t="s">
        <v>354</v>
      </c>
      <c r="D774" s="195" t="s">
        <v>369</v>
      </c>
      <c r="E774" s="195" t="s">
        <v>194</v>
      </c>
      <c r="F774" s="196" t="s">
        <v>413</v>
      </c>
      <c r="G774" s="196" t="s">
        <v>414</v>
      </c>
      <c r="H774" s="196" t="s">
        <v>415</v>
      </c>
      <c r="I774" s="196" t="s">
        <v>416</v>
      </c>
      <c r="J774" s="196" t="s">
        <v>413</v>
      </c>
      <c r="K774" s="196" t="s">
        <v>414</v>
      </c>
      <c r="L774" s="196" t="s">
        <v>415</v>
      </c>
      <c r="M774" s="196" t="s">
        <v>416</v>
      </c>
      <c r="N774" s="196" t="s">
        <v>413</v>
      </c>
      <c r="O774" s="196" t="s">
        <v>414</v>
      </c>
      <c r="P774" s="196" t="s">
        <v>415</v>
      </c>
      <c r="Q774" s="196" t="s">
        <v>416</v>
      </c>
      <c r="R774" s="196" t="s">
        <v>413</v>
      </c>
      <c r="S774" s="196" t="s">
        <v>414</v>
      </c>
      <c r="T774" s="196" t="s">
        <v>415</v>
      </c>
      <c r="U774" s="196" t="s">
        <v>416</v>
      </c>
      <c r="V774" s="196" t="s">
        <v>413</v>
      </c>
      <c r="W774" s="196" t="s">
        <v>414</v>
      </c>
      <c r="X774" s="196" t="s">
        <v>415</v>
      </c>
      <c r="Y774" s="196" t="s">
        <v>416</v>
      </c>
      <c r="Z774" s="196" t="s">
        <v>413</v>
      </c>
      <c r="AA774" s="196" t="s">
        <v>414</v>
      </c>
      <c r="AB774" s="196" t="s">
        <v>415</v>
      </c>
      <c r="AC774" s="196" t="s">
        <v>416</v>
      </c>
      <c r="AD774" s="202" t="s">
        <v>413</v>
      </c>
      <c r="AE774" s="202" t="s">
        <v>414</v>
      </c>
      <c r="AF774" s="202" t="s">
        <v>415</v>
      </c>
      <c r="AG774" s="203" t="s">
        <v>416</v>
      </c>
      <c r="AH774" s="204" t="s">
        <v>413</v>
      </c>
      <c r="AI774" s="202" t="s">
        <v>414</v>
      </c>
      <c r="AJ774" s="202" t="s">
        <v>415</v>
      </c>
      <c r="AK774" s="205" t="s">
        <v>416</v>
      </c>
    </row>
    <row r="775" spans="3:37">
      <c r="C775" s="1029" t="s">
        <v>382</v>
      </c>
      <c r="D775" s="1029" t="s">
        <v>383</v>
      </c>
      <c r="E775" s="196" t="s">
        <v>384</v>
      </c>
      <c r="F775" s="198">
        <v>0.14208000000000001</v>
      </c>
      <c r="G775" s="198">
        <v>0.14024</v>
      </c>
      <c r="H775" s="198">
        <v>4.3200000000000001E-6</v>
      </c>
      <c r="I775" s="198">
        <v>1.8400000000000001E-3</v>
      </c>
      <c r="J775" s="198">
        <v>0.15371000000000001</v>
      </c>
      <c r="K775" s="198">
        <v>0.15301000000000001</v>
      </c>
      <c r="L775" s="198">
        <v>3.2000000000000003E-4</v>
      </c>
      <c r="M775" s="198">
        <v>3.8000000000000002E-4</v>
      </c>
      <c r="N775" s="198">
        <v>0.1052</v>
      </c>
      <c r="O775" s="198">
        <v>0.10409</v>
      </c>
      <c r="P775" s="198">
        <v>2.1000000000000001E-4</v>
      </c>
      <c r="Q775" s="198">
        <v>8.9999999999999998E-4</v>
      </c>
      <c r="R775" s="200"/>
      <c r="S775" s="200"/>
      <c r="T775" s="200"/>
      <c r="U775" s="200"/>
      <c r="V775" s="200"/>
      <c r="W775" s="200"/>
      <c r="X775" s="200"/>
      <c r="Y775" s="200"/>
      <c r="Z775" s="198">
        <v>0.14957999999999999</v>
      </c>
      <c r="AA775" s="198">
        <v>0.14846999999999999</v>
      </c>
      <c r="AB775" s="198">
        <v>2.1000000000000001E-4</v>
      </c>
      <c r="AC775" s="198">
        <v>8.9999999999999998E-4</v>
      </c>
      <c r="AD775" s="206">
        <v>7.3470000000000008E-2</v>
      </c>
      <c r="AE775" s="206">
        <v>7.2950000000000001E-2</v>
      </c>
      <c r="AF775" s="206">
        <v>2.0000000000000001E-4</v>
      </c>
      <c r="AG775" s="206">
        <v>3.2000000000000003E-4</v>
      </c>
      <c r="AH775" s="206">
        <v>4.956E-2</v>
      </c>
      <c r="AI775" s="206">
        <v>4.9160000000000002E-2</v>
      </c>
      <c r="AJ775" s="206">
        <v>1.2999999999999999E-4</v>
      </c>
      <c r="AK775" s="206">
        <v>2.7E-4</v>
      </c>
    </row>
    <row r="776" spans="3:37">
      <c r="C776" s="1029"/>
      <c r="D776" s="1029"/>
      <c r="E776" s="196" t="s">
        <v>385</v>
      </c>
      <c r="F776" s="198">
        <v>0.22868000000000002</v>
      </c>
      <c r="G776" s="198">
        <v>0.22570000000000001</v>
      </c>
      <c r="H776" s="198">
        <v>1.0000000000000001E-5</v>
      </c>
      <c r="I776" s="198">
        <v>2.97E-3</v>
      </c>
      <c r="J776" s="198">
        <v>0.24736</v>
      </c>
      <c r="K776" s="198">
        <v>0.24623999999999999</v>
      </c>
      <c r="L776" s="198">
        <v>5.1000000000000004E-4</v>
      </c>
      <c r="M776" s="198">
        <v>6.0999999999999997E-4</v>
      </c>
      <c r="N776" s="198">
        <v>0.16930000000000001</v>
      </c>
      <c r="O776" s="198">
        <v>0.16752</v>
      </c>
      <c r="P776" s="198">
        <v>3.3E-4</v>
      </c>
      <c r="Q776" s="198">
        <v>1.4499999999999999E-3</v>
      </c>
      <c r="R776" s="200"/>
      <c r="S776" s="200"/>
      <c r="T776" s="200"/>
      <c r="U776" s="200"/>
      <c r="V776" s="200"/>
      <c r="W776" s="200"/>
      <c r="X776" s="200"/>
      <c r="Y776" s="200"/>
      <c r="Z776" s="198">
        <v>0.24072000000000002</v>
      </c>
      <c r="AA776" s="198">
        <v>0.23894000000000001</v>
      </c>
      <c r="AB776" s="198">
        <v>3.3E-4</v>
      </c>
      <c r="AC776" s="198">
        <v>1.4499999999999999E-3</v>
      </c>
      <c r="AD776" s="206">
        <v>0.11823</v>
      </c>
      <c r="AE776" s="206">
        <v>0.1174</v>
      </c>
      <c r="AF776" s="206">
        <v>3.2000000000000003E-4</v>
      </c>
      <c r="AG776" s="206">
        <v>5.1000000000000004E-4</v>
      </c>
      <c r="AH776" s="206">
        <v>7.9750000000000001E-2</v>
      </c>
      <c r="AI776" s="206">
        <v>7.9119999999999996E-2</v>
      </c>
      <c r="AJ776" s="206">
        <v>2.0000000000000001E-4</v>
      </c>
      <c r="AK776" s="206">
        <v>4.2999999999999999E-4</v>
      </c>
    </row>
    <row r="777" spans="3:37">
      <c r="C777" s="1029"/>
      <c r="D777" s="1029" t="s">
        <v>386</v>
      </c>
      <c r="E777" s="196" t="s">
        <v>384</v>
      </c>
      <c r="F777" s="198">
        <v>0.17061000000000001</v>
      </c>
      <c r="G777" s="198">
        <v>0.16877</v>
      </c>
      <c r="H777" s="198">
        <v>4.3200000000000001E-6</v>
      </c>
      <c r="I777" s="198">
        <v>1.8400000000000001E-3</v>
      </c>
      <c r="J777" s="198">
        <v>0.19228000000000001</v>
      </c>
      <c r="K777" s="198">
        <v>0.19158</v>
      </c>
      <c r="L777" s="198">
        <v>3.2000000000000003E-4</v>
      </c>
      <c r="M777" s="198">
        <v>3.8000000000000002E-4</v>
      </c>
      <c r="N777" s="198">
        <v>0.10895000000000001</v>
      </c>
      <c r="O777" s="198">
        <v>0.10764</v>
      </c>
      <c r="P777" s="198">
        <v>1.4999999999999999E-4</v>
      </c>
      <c r="Q777" s="198">
        <v>1.16E-3</v>
      </c>
      <c r="R777" s="198">
        <v>0.16175999999999999</v>
      </c>
      <c r="S777" s="198">
        <v>0.15972</v>
      </c>
      <c r="T777" s="198">
        <v>1.5900000000000001E-3</v>
      </c>
      <c r="U777" s="198">
        <v>4.4999999999999999E-4</v>
      </c>
      <c r="V777" s="198">
        <v>0.18065999999999999</v>
      </c>
      <c r="W777" s="198">
        <v>0.18015999999999999</v>
      </c>
      <c r="X777" s="198">
        <v>5.0000000000000002E-5</v>
      </c>
      <c r="Y777" s="198">
        <v>4.4999999999999999E-4</v>
      </c>
      <c r="Z777" s="198">
        <v>0.18071000000000001</v>
      </c>
      <c r="AA777" s="198">
        <v>0.1794</v>
      </c>
      <c r="AB777" s="198">
        <v>1.4999999999999999E-4</v>
      </c>
      <c r="AC777" s="198">
        <v>1.16E-3</v>
      </c>
      <c r="AD777" s="206">
        <v>0.10998000000000001</v>
      </c>
      <c r="AE777" s="206">
        <v>0.10924</v>
      </c>
      <c r="AF777" s="206">
        <v>3.1E-4</v>
      </c>
      <c r="AG777" s="206">
        <v>4.2999999999999999E-4</v>
      </c>
      <c r="AH777" s="206">
        <v>5.7689999999999998E-2</v>
      </c>
      <c r="AI777" s="206">
        <v>5.7230000000000003E-2</v>
      </c>
      <c r="AJ777" s="206">
        <v>1.4999999999999999E-4</v>
      </c>
      <c r="AK777" s="206">
        <v>3.1E-4</v>
      </c>
    </row>
    <row r="778" spans="3:37">
      <c r="C778" s="1029"/>
      <c r="D778" s="1029"/>
      <c r="E778" s="196" t="s">
        <v>385</v>
      </c>
      <c r="F778" s="198">
        <v>0.27459</v>
      </c>
      <c r="G778" s="198">
        <v>0.27161000000000002</v>
      </c>
      <c r="H778" s="198">
        <v>1.0000000000000001E-5</v>
      </c>
      <c r="I778" s="198">
        <v>2.97E-3</v>
      </c>
      <c r="J778" s="198">
        <v>0.30945</v>
      </c>
      <c r="K778" s="198">
        <v>0.30832999999999999</v>
      </c>
      <c r="L778" s="198">
        <v>5.1000000000000004E-4</v>
      </c>
      <c r="M778" s="198">
        <v>6.0999999999999997E-4</v>
      </c>
      <c r="N778" s="198">
        <v>0.17534</v>
      </c>
      <c r="O778" s="198">
        <v>0.17323</v>
      </c>
      <c r="P778" s="198">
        <v>2.4000000000000001E-4</v>
      </c>
      <c r="Q778" s="198">
        <v>1.8699999999999999E-3</v>
      </c>
      <c r="R778" s="198">
        <v>0.26034000000000002</v>
      </c>
      <c r="S778" s="198">
        <v>0.25705</v>
      </c>
      <c r="T778" s="198">
        <v>2.5699999999999998E-3</v>
      </c>
      <c r="U778" s="198">
        <v>7.2000000000000005E-4</v>
      </c>
      <c r="V778" s="198">
        <v>0.29073000000000004</v>
      </c>
      <c r="W778" s="198">
        <v>0.28993000000000002</v>
      </c>
      <c r="X778" s="198">
        <v>8.0000000000000007E-5</v>
      </c>
      <c r="Y778" s="198">
        <v>7.2000000000000005E-4</v>
      </c>
      <c r="Z778" s="198">
        <v>0.29082000000000002</v>
      </c>
      <c r="AA778" s="198">
        <v>0.28871000000000002</v>
      </c>
      <c r="AB778" s="198">
        <v>2.4000000000000001E-4</v>
      </c>
      <c r="AC778" s="198">
        <v>1.8699999999999999E-3</v>
      </c>
      <c r="AD778" s="206">
        <v>0.17699000000000001</v>
      </c>
      <c r="AE778" s="206">
        <v>0.17580000000000001</v>
      </c>
      <c r="AF778" s="206">
        <v>5.0000000000000001E-4</v>
      </c>
      <c r="AG778" s="206">
        <v>6.8999999999999997E-4</v>
      </c>
      <c r="AH778" s="206">
        <v>9.282E-2</v>
      </c>
      <c r="AI778" s="206">
        <v>9.2090000000000005E-2</v>
      </c>
      <c r="AJ778" s="206">
        <v>2.3000000000000001E-4</v>
      </c>
      <c r="AK778" s="206">
        <v>5.0000000000000001E-4</v>
      </c>
    </row>
    <row r="779" spans="3:37">
      <c r="C779" s="1029"/>
      <c r="D779" s="1029" t="s">
        <v>387</v>
      </c>
      <c r="E779" s="196" t="s">
        <v>384</v>
      </c>
      <c r="F779" s="198">
        <v>0.20946999999999999</v>
      </c>
      <c r="G779" s="198">
        <v>0.20763000000000001</v>
      </c>
      <c r="H779" s="198">
        <v>4.3200000000000001E-6</v>
      </c>
      <c r="I779" s="198">
        <v>1.8400000000000001E-3</v>
      </c>
      <c r="J779" s="198">
        <v>0.28294999999999998</v>
      </c>
      <c r="K779" s="198">
        <v>0.28225</v>
      </c>
      <c r="L779" s="198">
        <v>3.2000000000000003E-4</v>
      </c>
      <c r="M779" s="198">
        <v>3.8000000000000002E-4</v>
      </c>
      <c r="N779" s="198">
        <v>0.13177</v>
      </c>
      <c r="O779" s="198">
        <v>0.13022</v>
      </c>
      <c r="P779" s="198">
        <v>9.0000000000000006E-5</v>
      </c>
      <c r="Q779" s="198">
        <v>1.4599999999999999E-3</v>
      </c>
      <c r="R779" s="198">
        <v>0.23735000000000001</v>
      </c>
      <c r="S779" s="198">
        <v>0.23530999999999999</v>
      </c>
      <c r="T779" s="198">
        <v>1.5900000000000001E-3</v>
      </c>
      <c r="U779" s="198">
        <v>4.4999999999999999E-4</v>
      </c>
      <c r="V779" s="198">
        <v>0.26590999999999998</v>
      </c>
      <c r="W779" s="198">
        <v>0.26540999999999998</v>
      </c>
      <c r="X779" s="198">
        <v>5.0000000000000002E-5</v>
      </c>
      <c r="Y779" s="198">
        <v>4.4999999999999999E-4</v>
      </c>
      <c r="Z779" s="198">
        <v>0.22857</v>
      </c>
      <c r="AA779" s="198">
        <v>0.22702</v>
      </c>
      <c r="AB779" s="198">
        <v>9.0000000000000006E-5</v>
      </c>
      <c r="AC779" s="198">
        <v>1.4599999999999999E-3</v>
      </c>
      <c r="AD779" s="206">
        <v>0.12567</v>
      </c>
      <c r="AE779" s="206">
        <v>0.12483</v>
      </c>
      <c r="AF779" s="206">
        <v>3.6000000000000002E-4</v>
      </c>
      <c r="AG779" s="206">
        <v>4.8000000000000001E-4</v>
      </c>
      <c r="AH779" s="206">
        <v>7.2559999999999999E-2</v>
      </c>
      <c r="AI779" s="206">
        <v>7.1989999999999998E-2</v>
      </c>
      <c r="AJ779" s="206">
        <v>1.8000000000000001E-4</v>
      </c>
      <c r="AK779" s="206">
        <v>3.8999999999999999E-4</v>
      </c>
    </row>
    <row r="780" spans="3:37">
      <c r="C780" s="1029"/>
      <c r="D780" s="1029"/>
      <c r="E780" s="196" t="s">
        <v>385</v>
      </c>
      <c r="F780" s="198">
        <v>0.33712999999999999</v>
      </c>
      <c r="G780" s="198">
        <v>0.33415</v>
      </c>
      <c r="H780" s="198">
        <v>1.0000000000000001E-5</v>
      </c>
      <c r="I780" s="198">
        <v>2.97E-3</v>
      </c>
      <c r="J780" s="198">
        <v>0.45535999999999999</v>
      </c>
      <c r="K780" s="198">
        <v>0.45423999999999998</v>
      </c>
      <c r="L780" s="198">
        <v>5.1000000000000004E-4</v>
      </c>
      <c r="M780" s="198">
        <v>6.0999999999999997E-4</v>
      </c>
      <c r="N780" s="198">
        <v>0.21207000000000001</v>
      </c>
      <c r="O780" s="198">
        <v>0.20957000000000001</v>
      </c>
      <c r="P780" s="198">
        <v>1.3999999999999999E-4</v>
      </c>
      <c r="Q780" s="198">
        <v>2.3600000000000001E-3</v>
      </c>
      <c r="R780" s="198">
        <v>0.38198000000000004</v>
      </c>
      <c r="S780" s="198">
        <v>0.37869000000000003</v>
      </c>
      <c r="T780" s="198">
        <v>2.5699999999999998E-3</v>
      </c>
      <c r="U780" s="198">
        <v>7.2000000000000005E-4</v>
      </c>
      <c r="V780" s="198">
        <v>0.42794000000000004</v>
      </c>
      <c r="W780" s="198">
        <v>0.42714000000000002</v>
      </c>
      <c r="X780" s="198">
        <v>8.0000000000000007E-5</v>
      </c>
      <c r="Y780" s="198">
        <v>7.2000000000000005E-4</v>
      </c>
      <c r="Z780" s="198">
        <v>0.36784999999999995</v>
      </c>
      <c r="AA780" s="198">
        <v>0.36535000000000001</v>
      </c>
      <c r="AB780" s="198">
        <v>1.3999999999999999E-4</v>
      </c>
      <c r="AC780" s="198">
        <v>2.3600000000000001E-3</v>
      </c>
      <c r="AD780" s="206">
        <v>0.20224999999999999</v>
      </c>
      <c r="AE780" s="206">
        <v>0.2009</v>
      </c>
      <c r="AF780" s="206">
        <v>5.6999999999999998E-4</v>
      </c>
      <c r="AG780" s="206">
        <v>7.7999999999999999E-4</v>
      </c>
      <c r="AH780" s="206">
        <v>0.11677</v>
      </c>
      <c r="AI780" s="206">
        <v>0.11584999999999999</v>
      </c>
      <c r="AJ780" s="206">
        <v>2.9E-4</v>
      </c>
      <c r="AK780" s="206">
        <v>6.3000000000000003E-4</v>
      </c>
    </row>
    <row r="781" spans="3:37">
      <c r="C781" s="1029"/>
      <c r="D781" s="1029" t="s">
        <v>388</v>
      </c>
      <c r="E781" s="196" t="s">
        <v>384</v>
      </c>
      <c r="F781" s="198">
        <v>0.17335999999999999</v>
      </c>
      <c r="G781" s="198">
        <v>0.17152000000000001</v>
      </c>
      <c r="H781" s="198">
        <v>4.3200000000000001E-6</v>
      </c>
      <c r="I781" s="198">
        <v>1.8400000000000001E-3</v>
      </c>
      <c r="J781" s="198">
        <v>0.18084</v>
      </c>
      <c r="K781" s="198">
        <v>0.18013999999999999</v>
      </c>
      <c r="L781" s="198">
        <v>3.2000000000000003E-4</v>
      </c>
      <c r="M781" s="198">
        <v>3.8000000000000002E-4</v>
      </c>
      <c r="N781" s="198">
        <v>0.11473</v>
      </c>
      <c r="O781" s="198">
        <v>0.11346000000000001</v>
      </c>
      <c r="P781" s="198">
        <v>1.6000000000000001E-4</v>
      </c>
      <c r="Q781" s="198">
        <v>1.1100000000000001E-3</v>
      </c>
      <c r="R781" s="198">
        <v>0.17802999999999999</v>
      </c>
      <c r="S781" s="198">
        <v>0.17599000000000001</v>
      </c>
      <c r="T781" s="198">
        <v>1.5900000000000001E-3</v>
      </c>
      <c r="U781" s="198">
        <v>4.4999999999999999E-4</v>
      </c>
      <c r="V781" s="198">
        <v>0.19900999999999999</v>
      </c>
      <c r="W781" s="198">
        <v>0.19850999999999999</v>
      </c>
      <c r="X781" s="198">
        <v>5.0000000000000002E-5</v>
      </c>
      <c r="Y781" s="198">
        <v>4.4999999999999999E-4</v>
      </c>
      <c r="Z781" s="198">
        <v>0.17710000000000001</v>
      </c>
      <c r="AA781" s="198">
        <v>0.17582999999999999</v>
      </c>
      <c r="AB781" s="198">
        <v>1.6000000000000001E-4</v>
      </c>
      <c r="AC781" s="198">
        <v>1.1100000000000001E-3</v>
      </c>
      <c r="AD781" s="206">
        <v>0.11532000000000001</v>
      </c>
      <c r="AE781" s="206">
        <v>0.11454</v>
      </c>
      <c r="AF781" s="206">
        <v>3.3E-4</v>
      </c>
      <c r="AG781" s="206">
        <v>4.4999999999999999E-4</v>
      </c>
      <c r="AH781" s="206">
        <v>6.0199999999999997E-2</v>
      </c>
      <c r="AI781" s="206">
        <v>5.9729999999999998E-2</v>
      </c>
      <c r="AJ781" s="206">
        <v>1.4999999999999999E-4</v>
      </c>
      <c r="AK781" s="206">
        <v>3.2000000000000003E-4</v>
      </c>
    </row>
    <row r="782" spans="3:37">
      <c r="C782" s="1029"/>
      <c r="D782" s="1029"/>
      <c r="E782" s="196" t="s">
        <v>385</v>
      </c>
      <c r="F782" s="198">
        <v>0.27900999999999998</v>
      </c>
      <c r="G782" s="198">
        <v>0.27603</v>
      </c>
      <c r="H782" s="198">
        <v>1.0000000000000001E-5</v>
      </c>
      <c r="I782" s="198">
        <v>2.97E-3</v>
      </c>
      <c r="J782" s="198">
        <v>0.29103000000000001</v>
      </c>
      <c r="K782" s="198">
        <v>0.28991</v>
      </c>
      <c r="L782" s="198">
        <v>5.1000000000000004E-4</v>
      </c>
      <c r="M782" s="198">
        <v>6.0999999999999997E-4</v>
      </c>
      <c r="N782" s="198">
        <v>0.18464000000000003</v>
      </c>
      <c r="O782" s="198">
        <v>0.18259</v>
      </c>
      <c r="P782" s="198">
        <v>2.5999999999999998E-4</v>
      </c>
      <c r="Q782" s="198">
        <v>1.7899999999999999E-3</v>
      </c>
      <c r="R782" s="198">
        <v>0.28653000000000001</v>
      </c>
      <c r="S782" s="198">
        <v>0.28323999999999999</v>
      </c>
      <c r="T782" s="198">
        <v>2.5699999999999998E-3</v>
      </c>
      <c r="U782" s="198">
        <v>7.2000000000000005E-4</v>
      </c>
      <c r="V782" s="198">
        <v>0.32027</v>
      </c>
      <c r="W782" s="198">
        <v>0.31946999999999998</v>
      </c>
      <c r="X782" s="198">
        <v>8.0000000000000007E-5</v>
      </c>
      <c r="Y782" s="198">
        <v>7.2000000000000005E-4</v>
      </c>
      <c r="Z782" s="198">
        <v>0.28502</v>
      </c>
      <c r="AA782" s="198">
        <v>0.28297</v>
      </c>
      <c r="AB782" s="198">
        <v>2.5999999999999998E-4</v>
      </c>
      <c r="AC782" s="198">
        <v>1.7899999999999999E-3</v>
      </c>
      <c r="AD782" s="206">
        <v>0.18559</v>
      </c>
      <c r="AE782" s="206">
        <v>0.18434</v>
      </c>
      <c r="AF782" s="206">
        <v>5.2999999999999998E-4</v>
      </c>
      <c r="AG782" s="206">
        <v>7.2000000000000005E-4</v>
      </c>
      <c r="AH782" s="206">
        <v>9.6880000000000008E-2</v>
      </c>
      <c r="AI782" s="206">
        <v>9.6119999999999997E-2</v>
      </c>
      <c r="AJ782" s="206">
        <v>2.4000000000000001E-4</v>
      </c>
      <c r="AK782" s="206">
        <v>5.1999999999999995E-4</v>
      </c>
    </row>
    <row r="783" spans="3:37">
      <c r="C783" s="194"/>
      <c r="D783" s="194"/>
      <c r="E783" s="194"/>
      <c r="F783" s="194"/>
      <c r="G783" s="194"/>
      <c r="H783" s="194"/>
      <c r="I783" s="194"/>
      <c r="J783" s="194"/>
      <c r="K783" s="194"/>
      <c r="L783" s="194"/>
      <c r="M783" s="194"/>
      <c r="N783" s="194"/>
      <c r="O783" s="194"/>
      <c r="P783" s="194"/>
      <c r="Q783" s="194"/>
      <c r="R783" s="194"/>
      <c r="S783" s="194"/>
      <c r="T783" s="194"/>
      <c r="U783" s="194"/>
      <c r="V783" s="194"/>
      <c r="W783" s="194"/>
      <c r="X783" s="194"/>
      <c r="Y783" s="194"/>
      <c r="Z783" s="194"/>
      <c r="AA783" s="194"/>
      <c r="AB783" s="194"/>
      <c r="AC783" s="194"/>
      <c r="AD783" s="194"/>
      <c r="AE783" s="194"/>
      <c r="AF783" s="194"/>
      <c r="AG783" s="194"/>
      <c r="AH783" s="194"/>
      <c r="AI783" s="194"/>
      <c r="AJ783" s="194"/>
      <c r="AK783" s="194"/>
    </row>
    <row r="784" spans="3:37">
      <c r="C784" s="194"/>
      <c r="D784" s="194"/>
      <c r="E784" s="194"/>
      <c r="F784" s="194"/>
      <c r="G784" s="194"/>
      <c r="H784" s="194"/>
      <c r="I784" s="194"/>
      <c r="J784" s="194"/>
      <c r="K784" s="194"/>
      <c r="L784" s="194"/>
      <c r="M784" s="194"/>
      <c r="N784" s="194"/>
      <c r="O784" s="194"/>
      <c r="P784" s="194"/>
      <c r="Q784" s="194"/>
      <c r="R784" s="194"/>
      <c r="S784" s="194"/>
      <c r="T784" s="194"/>
      <c r="U784" s="194"/>
      <c r="V784" s="194"/>
      <c r="W784" s="194"/>
      <c r="X784" s="194"/>
      <c r="Y784" s="194"/>
      <c r="Z784" s="194"/>
      <c r="AA784" s="194"/>
      <c r="AB784" s="194"/>
      <c r="AC784" s="194"/>
      <c r="AD784" s="194"/>
      <c r="AE784" s="194"/>
      <c r="AF784" s="194"/>
      <c r="AG784" s="194"/>
      <c r="AH784" s="194"/>
      <c r="AI784" s="194"/>
      <c r="AJ784" s="194"/>
      <c r="AK784" s="194"/>
    </row>
    <row r="785" spans="3:37">
      <c r="C785" s="194"/>
      <c r="D785" s="194"/>
      <c r="E785" s="194"/>
      <c r="F785" s="194"/>
      <c r="G785" s="194"/>
      <c r="H785" s="194"/>
      <c r="I785" s="194"/>
      <c r="J785" s="194"/>
      <c r="K785" s="194"/>
      <c r="L785" s="194"/>
      <c r="M785" s="194"/>
      <c r="N785" s="194"/>
      <c r="O785" s="194"/>
      <c r="P785" s="194"/>
      <c r="Q785" s="194"/>
      <c r="R785" s="194"/>
      <c r="S785" s="194"/>
      <c r="T785" s="194"/>
      <c r="U785" s="194"/>
      <c r="V785" s="194"/>
      <c r="W785" s="194"/>
      <c r="X785" s="194"/>
      <c r="Y785" s="194"/>
      <c r="Z785" s="194"/>
      <c r="AA785" s="194"/>
      <c r="AB785" s="194"/>
      <c r="AC785" s="194"/>
      <c r="AD785" s="194"/>
      <c r="AE785" s="194"/>
      <c r="AF785" s="194"/>
      <c r="AG785" s="194"/>
      <c r="AH785" s="194"/>
      <c r="AI785" s="194"/>
      <c r="AJ785" s="194"/>
      <c r="AK785" s="194"/>
    </row>
    <row r="786" spans="3:37" ht="18">
      <c r="C786" s="195" t="s">
        <v>354</v>
      </c>
      <c r="D786" s="195" t="s">
        <v>369</v>
      </c>
      <c r="E786" s="195" t="s">
        <v>194</v>
      </c>
      <c r="F786" s="196" t="s">
        <v>413</v>
      </c>
      <c r="G786" s="196" t="s">
        <v>414</v>
      </c>
      <c r="H786" s="196" t="s">
        <v>415</v>
      </c>
      <c r="I786" s="196" t="s">
        <v>416</v>
      </c>
      <c r="J786" s="194"/>
      <c r="K786" s="194"/>
      <c r="L786" s="194"/>
      <c r="M786" s="194"/>
      <c r="N786" s="194"/>
      <c r="O786" s="194"/>
      <c r="P786" s="194"/>
      <c r="Q786" s="194"/>
      <c r="R786" s="194"/>
      <c r="S786" s="194"/>
      <c r="T786" s="194"/>
      <c r="U786" s="194"/>
      <c r="V786" s="194"/>
      <c r="W786" s="194"/>
      <c r="X786" s="194"/>
      <c r="Y786" s="194"/>
      <c r="Z786" s="194"/>
      <c r="AA786" s="194"/>
      <c r="AB786" s="194"/>
      <c r="AC786" s="194"/>
      <c r="AD786" s="194"/>
      <c r="AE786" s="194"/>
      <c r="AF786" s="194"/>
      <c r="AG786" s="194"/>
      <c r="AH786" s="194"/>
      <c r="AI786" s="194"/>
      <c r="AJ786" s="194"/>
      <c r="AK786" s="194"/>
    </row>
    <row r="787" spans="3:37">
      <c r="C787" s="1029" t="s">
        <v>389</v>
      </c>
      <c r="D787" s="1029" t="s">
        <v>390</v>
      </c>
      <c r="E787" s="196" t="s">
        <v>384</v>
      </c>
      <c r="F787" s="201">
        <v>8.4449999999999997E-2</v>
      </c>
      <c r="G787" s="201">
        <v>8.2409999999999997E-2</v>
      </c>
      <c r="H787" s="201">
        <v>1.74E-3</v>
      </c>
      <c r="I787" s="201">
        <v>2.9999999999999997E-4</v>
      </c>
      <c r="J787" s="194"/>
      <c r="K787" s="194"/>
      <c r="L787" s="194"/>
      <c r="M787" s="194"/>
      <c r="N787" s="194"/>
      <c r="O787" s="194"/>
      <c r="P787" s="194"/>
      <c r="Q787" s="194"/>
      <c r="R787" s="194"/>
      <c r="S787" s="194"/>
      <c r="T787" s="194"/>
      <c r="U787" s="194"/>
      <c r="V787" s="194"/>
      <c r="W787" s="194"/>
      <c r="X787" s="194"/>
      <c r="Y787" s="194"/>
      <c r="Z787" s="194"/>
      <c r="AA787" s="194"/>
      <c r="AB787" s="194"/>
      <c r="AC787" s="194"/>
      <c r="AD787" s="194"/>
      <c r="AE787" s="194"/>
      <c r="AF787" s="194"/>
      <c r="AG787" s="194"/>
      <c r="AH787" s="194"/>
      <c r="AI787" s="194"/>
      <c r="AJ787" s="194"/>
      <c r="AK787" s="194"/>
    </row>
    <row r="788" spans="3:37">
      <c r="C788" s="1029"/>
      <c r="D788" s="1029"/>
      <c r="E788" s="196" t="s">
        <v>385</v>
      </c>
      <c r="F788" s="201">
        <v>0.13591</v>
      </c>
      <c r="G788" s="201">
        <v>0.13263</v>
      </c>
      <c r="H788" s="201">
        <v>2.8E-3</v>
      </c>
      <c r="I788" s="201">
        <v>4.8000000000000001E-4</v>
      </c>
      <c r="J788" s="194"/>
      <c r="K788" s="194"/>
      <c r="L788" s="194"/>
      <c r="M788" s="194"/>
      <c r="N788" s="194"/>
      <c r="O788" s="194"/>
      <c r="P788" s="194"/>
      <c r="Q788" s="194"/>
      <c r="R788" s="194"/>
      <c r="S788" s="194"/>
      <c r="T788" s="194"/>
      <c r="U788" s="194"/>
      <c r="V788" s="194"/>
      <c r="W788" s="194"/>
      <c r="X788" s="194"/>
      <c r="Y788" s="194"/>
      <c r="Z788" s="194"/>
      <c r="AA788" s="194"/>
      <c r="AB788" s="194"/>
      <c r="AC788" s="194"/>
      <c r="AD788" s="194"/>
      <c r="AE788" s="194"/>
      <c r="AF788" s="194"/>
      <c r="AG788" s="194"/>
      <c r="AH788" s="194"/>
      <c r="AI788" s="194"/>
      <c r="AJ788" s="194"/>
      <c r="AK788" s="194"/>
    </row>
    <row r="789" spans="3:37">
      <c r="C789" s="1029"/>
      <c r="D789" s="1029" t="s">
        <v>391</v>
      </c>
      <c r="E789" s="196" t="s">
        <v>384</v>
      </c>
      <c r="F789" s="201">
        <v>0.10289000000000001</v>
      </c>
      <c r="G789" s="201">
        <v>0.10004</v>
      </c>
      <c r="H789" s="201">
        <v>2.2499999999999998E-3</v>
      </c>
      <c r="I789" s="201">
        <v>5.9999999999999995E-4</v>
      </c>
      <c r="J789" s="194"/>
      <c r="K789" s="194"/>
      <c r="L789" s="194"/>
      <c r="M789" s="194"/>
      <c r="N789" s="194"/>
      <c r="O789" s="194"/>
      <c r="P789" s="194"/>
      <c r="Q789" s="194"/>
      <c r="R789" s="194"/>
      <c r="S789" s="194"/>
      <c r="T789" s="194"/>
      <c r="U789" s="194"/>
      <c r="V789" s="194"/>
      <c r="W789" s="194"/>
      <c r="X789" s="194"/>
      <c r="Y789" s="194"/>
      <c r="Z789" s="194"/>
      <c r="AA789" s="194"/>
      <c r="AB789" s="194"/>
      <c r="AC789" s="194"/>
      <c r="AD789" s="194"/>
      <c r="AE789" s="194"/>
      <c r="AF789" s="194"/>
      <c r="AG789" s="194"/>
      <c r="AH789" s="194"/>
      <c r="AI789" s="194"/>
      <c r="AJ789" s="194"/>
      <c r="AK789" s="194"/>
    </row>
    <row r="790" spans="3:37">
      <c r="C790" s="1029"/>
      <c r="D790" s="1029"/>
      <c r="E790" s="196" t="s">
        <v>385</v>
      </c>
      <c r="F790" s="201">
        <v>0.16559000000000001</v>
      </c>
      <c r="G790" s="201">
        <v>0.161</v>
      </c>
      <c r="H790" s="201">
        <v>3.62E-3</v>
      </c>
      <c r="I790" s="201">
        <v>9.7000000000000005E-4</v>
      </c>
      <c r="J790" s="194"/>
      <c r="K790" s="194"/>
      <c r="L790" s="194"/>
      <c r="M790" s="194"/>
      <c r="N790" s="194"/>
      <c r="O790" s="194"/>
      <c r="P790" s="194"/>
      <c r="Q790" s="194"/>
      <c r="R790" s="194"/>
      <c r="S790" s="194"/>
      <c r="T790" s="194"/>
      <c r="U790" s="194"/>
      <c r="V790" s="194"/>
      <c r="W790" s="194"/>
      <c r="X790" s="194"/>
      <c r="Y790" s="194"/>
      <c r="Z790" s="194"/>
      <c r="AA790" s="194"/>
      <c r="AB790" s="194"/>
      <c r="AC790" s="194"/>
      <c r="AD790" s="194"/>
      <c r="AE790" s="194"/>
      <c r="AF790" s="194"/>
      <c r="AG790" s="194"/>
      <c r="AH790" s="194"/>
      <c r="AI790" s="194"/>
      <c r="AJ790" s="194"/>
      <c r="AK790" s="194"/>
    </row>
    <row r="791" spans="3:37">
      <c r="C791" s="1029"/>
      <c r="D791" s="1029" t="s">
        <v>392</v>
      </c>
      <c r="E791" s="196" t="s">
        <v>384</v>
      </c>
      <c r="F791" s="201">
        <v>0.13500999999999999</v>
      </c>
      <c r="G791" s="201">
        <v>0.13308</v>
      </c>
      <c r="H791" s="201">
        <v>1.33E-3</v>
      </c>
      <c r="I791" s="201">
        <v>5.9999999999999995E-4</v>
      </c>
      <c r="J791" s="194"/>
      <c r="K791" s="194"/>
      <c r="L791" s="194"/>
      <c r="M791" s="194"/>
      <c r="N791" s="194"/>
      <c r="O791" s="194"/>
      <c r="P791" s="194"/>
      <c r="Q791" s="194"/>
      <c r="R791" s="194"/>
      <c r="S791" s="194"/>
      <c r="T791" s="194"/>
      <c r="U791" s="194"/>
      <c r="V791" s="194"/>
      <c r="W791" s="194"/>
      <c r="X791" s="194"/>
      <c r="Y791" s="194"/>
      <c r="Z791" s="194"/>
      <c r="AA791" s="194"/>
      <c r="AB791" s="194"/>
      <c r="AC791" s="194"/>
      <c r="AD791" s="194"/>
      <c r="AE791" s="194"/>
      <c r="AF791" s="194"/>
      <c r="AG791" s="194"/>
      <c r="AH791" s="194"/>
      <c r="AI791" s="194"/>
      <c r="AJ791" s="194"/>
      <c r="AK791" s="194"/>
    </row>
    <row r="792" spans="3:37">
      <c r="C792" s="1029"/>
      <c r="D792" s="1029"/>
      <c r="E792" s="196" t="s">
        <v>385</v>
      </c>
      <c r="F792" s="201">
        <v>0.21729000000000001</v>
      </c>
      <c r="G792" s="201">
        <v>0.21418000000000001</v>
      </c>
      <c r="H792" s="201">
        <v>2.14E-3</v>
      </c>
      <c r="I792" s="201">
        <v>9.7000000000000005E-4</v>
      </c>
      <c r="J792" s="194"/>
      <c r="K792" s="194"/>
      <c r="L792" s="194"/>
      <c r="M792" s="194"/>
      <c r="N792" s="194"/>
      <c r="O792" s="194"/>
      <c r="P792" s="194"/>
      <c r="Q792" s="194"/>
      <c r="R792" s="194"/>
      <c r="S792" s="194"/>
      <c r="T792" s="194"/>
      <c r="U792" s="194"/>
      <c r="V792" s="194"/>
      <c r="W792" s="194"/>
      <c r="X792" s="194"/>
      <c r="Y792" s="194"/>
      <c r="Z792" s="194"/>
      <c r="AA792" s="194"/>
      <c r="AB792" s="194"/>
      <c r="AC792" s="194"/>
      <c r="AD792" s="194"/>
      <c r="AE792" s="194"/>
      <c r="AF792" s="194"/>
      <c r="AG792" s="194"/>
      <c r="AH792" s="194"/>
      <c r="AI792" s="194"/>
      <c r="AJ792" s="194"/>
      <c r="AK792" s="194"/>
    </row>
    <row r="793" spans="3:37">
      <c r="C793" s="1029"/>
      <c r="D793" s="1029" t="s">
        <v>393</v>
      </c>
      <c r="E793" s="196" t="s">
        <v>384</v>
      </c>
      <c r="F793" s="201">
        <v>0.11551</v>
      </c>
      <c r="G793" s="201">
        <v>0.11314</v>
      </c>
      <c r="H793" s="201">
        <v>1.7799999999999999E-3</v>
      </c>
      <c r="I793" s="201">
        <v>5.9000000000000003E-4</v>
      </c>
      <c r="J793" s="194"/>
      <c r="K793" s="194"/>
      <c r="L793" s="194"/>
      <c r="M793" s="194"/>
      <c r="N793" s="194"/>
      <c r="O793" s="194"/>
      <c r="P793" s="194"/>
      <c r="Q793" s="194"/>
      <c r="R793" s="194"/>
      <c r="S793" s="194"/>
      <c r="T793" s="194"/>
      <c r="U793" s="194"/>
      <c r="V793" s="194"/>
      <c r="W793" s="194"/>
      <c r="X793" s="194"/>
      <c r="Y793" s="194"/>
      <c r="Z793" s="194"/>
      <c r="AA793" s="194"/>
      <c r="AB793" s="194"/>
      <c r="AC793" s="194"/>
      <c r="AD793" s="194"/>
      <c r="AE793" s="194"/>
      <c r="AF793" s="194"/>
      <c r="AG793" s="194"/>
      <c r="AH793" s="194"/>
      <c r="AI793" s="194"/>
      <c r="AJ793" s="194"/>
      <c r="AK793" s="194"/>
    </row>
    <row r="794" spans="3:37">
      <c r="C794" s="1029"/>
      <c r="D794" s="1029"/>
      <c r="E794" s="196" t="s">
        <v>385</v>
      </c>
      <c r="F794" s="201">
        <v>0.18589</v>
      </c>
      <c r="G794" s="201">
        <v>0.18207999999999999</v>
      </c>
      <c r="H794" s="201">
        <v>2.8600000000000001E-3</v>
      </c>
      <c r="I794" s="201">
        <v>9.5E-4</v>
      </c>
      <c r="J794" s="194"/>
      <c r="K794" s="194"/>
      <c r="L794" s="194"/>
      <c r="M794" s="194"/>
      <c r="N794" s="194"/>
      <c r="O794" s="194"/>
      <c r="P794" s="194"/>
      <c r="Q794" s="194"/>
      <c r="R794" s="194"/>
      <c r="S794" s="194"/>
      <c r="T794" s="194"/>
      <c r="U794" s="194"/>
      <c r="V794" s="194"/>
      <c r="W794" s="194"/>
      <c r="X794" s="194"/>
      <c r="Y794" s="194"/>
      <c r="Z794" s="194"/>
      <c r="AA794" s="194"/>
      <c r="AB794" s="194"/>
      <c r="AC794" s="194"/>
      <c r="AD794" s="194"/>
      <c r="AE794" s="194"/>
      <c r="AF794" s="194"/>
      <c r="AG794" s="194"/>
      <c r="AH794" s="194"/>
      <c r="AI794" s="194"/>
      <c r="AJ794" s="194"/>
      <c r="AK794" s="194"/>
    </row>
    <row r="795" spans="3:37">
      <c r="C795" s="194"/>
      <c r="D795" s="194"/>
      <c r="E795" s="194"/>
      <c r="F795" s="194"/>
      <c r="G795" s="194"/>
      <c r="H795" s="194"/>
      <c r="I795" s="194"/>
      <c r="J795" s="194"/>
      <c r="K795" s="194"/>
      <c r="L795" s="194"/>
      <c r="M795" s="194"/>
      <c r="N795" s="194"/>
      <c r="O795" s="194"/>
      <c r="P795" s="194"/>
      <c r="Q795" s="194"/>
      <c r="R795" s="194"/>
      <c r="S795" s="194"/>
      <c r="T795" s="194"/>
      <c r="U795" s="194"/>
      <c r="V795" s="194"/>
      <c r="W795" s="194"/>
      <c r="X795" s="194"/>
      <c r="Y795" s="194"/>
      <c r="Z795" s="194"/>
      <c r="AA795" s="194"/>
      <c r="AB795" s="194"/>
      <c r="AC795" s="194"/>
      <c r="AD795" s="194"/>
      <c r="AE795" s="194"/>
      <c r="AF795" s="194"/>
      <c r="AG795" s="194"/>
      <c r="AH795" s="194"/>
      <c r="AI795" s="194"/>
      <c r="AJ795" s="194"/>
      <c r="AK795" s="194"/>
    </row>
    <row r="796" spans="3:37">
      <c r="C796" s="194"/>
      <c r="D796" s="194"/>
      <c r="E796" s="194"/>
      <c r="F796" s="194"/>
      <c r="G796" s="194"/>
      <c r="H796" s="194"/>
      <c r="I796" s="194"/>
      <c r="J796" s="194"/>
      <c r="K796" s="194"/>
      <c r="L796" s="194"/>
      <c r="M796" s="194"/>
      <c r="N796" s="194"/>
      <c r="O796" s="194"/>
      <c r="P796" s="194"/>
      <c r="Q796" s="194"/>
      <c r="R796" s="194"/>
      <c r="S796" s="194"/>
      <c r="T796" s="194"/>
      <c r="U796" s="194"/>
      <c r="V796" s="194"/>
      <c r="W796" s="194"/>
      <c r="X796" s="194"/>
      <c r="Y796" s="194"/>
      <c r="Z796" s="194"/>
      <c r="AA796" s="194"/>
      <c r="AB796" s="194"/>
      <c r="AC796" s="194"/>
      <c r="AD796" s="194"/>
      <c r="AE796" s="194"/>
      <c r="AF796" s="194"/>
      <c r="AG796" s="194"/>
      <c r="AH796" s="194"/>
      <c r="AI796" s="194"/>
      <c r="AJ796" s="194"/>
      <c r="AK796" s="194"/>
    </row>
    <row r="797" spans="3:37">
      <c r="C797" s="194"/>
      <c r="D797" s="194"/>
      <c r="E797" s="194"/>
      <c r="F797" s="194"/>
      <c r="G797" s="194"/>
      <c r="H797" s="194"/>
      <c r="I797" s="194"/>
      <c r="J797" s="194"/>
      <c r="K797" s="194"/>
      <c r="L797" s="194"/>
      <c r="M797" s="194"/>
      <c r="N797" s="194"/>
      <c r="O797" s="194"/>
      <c r="P797" s="194"/>
      <c r="Q797" s="194"/>
      <c r="R797" s="194"/>
      <c r="S797" s="194"/>
      <c r="T797" s="194"/>
      <c r="U797" s="194"/>
      <c r="V797" s="194"/>
      <c r="W797" s="194"/>
      <c r="X797" s="194"/>
      <c r="Y797" s="194"/>
      <c r="Z797" s="194"/>
      <c r="AA797" s="194"/>
      <c r="AB797" s="194"/>
      <c r="AC797" s="194"/>
      <c r="AD797" s="194"/>
      <c r="AE797" s="194"/>
      <c r="AF797" s="194"/>
      <c r="AG797" s="194"/>
      <c r="AH797" s="194"/>
      <c r="AI797" s="194"/>
      <c r="AJ797" s="194"/>
      <c r="AK797" s="194"/>
    </row>
    <row r="798" spans="3:37" ht="18">
      <c r="C798" s="195" t="s">
        <v>354</v>
      </c>
      <c r="D798" s="195" t="s">
        <v>369</v>
      </c>
      <c r="E798" s="195" t="s">
        <v>194</v>
      </c>
      <c r="F798" s="196" t="s">
        <v>413</v>
      </c>
      <c r="G798" s="196" t="s">
        <v>414</v>
      </c>
      <c r="H798" s="196" t="s">
        <v>415</v>
      </c>
      <c r="I798" s="196" t="s">
        <v>416</v>
      </c>
      <c r="J798" s="194"/>
      <c r="K798" s="194"/>
      <c r="L798" s="194"/>
      <c r="M798" s="194"/>
      <c r="N798" s="194"/>
      <c r="O798" s="194"/>
      <c r="P798" s="194"/>
      <c r="Q798" s="194"/>
      <c r="R798" s="194"/>
      <c r="S798" s="194"/>
      <c r="T798" s="194"/>
      <c r="U798" s="194"/>
      <c r="V798" s="194"/>
      <c r="W798" s="194"/>
      <c r="X798" s="194"/>
      <c r="Y798" s="194"/>
      <c r="Z798" s="194"/>
      <c r="AA798" s="194"/>
      <c r="AB798" s="194"/>
      <c r="AC798" s="194"/>
      <c r="AD798" s="194"/>
      <c r="AE798" s="194"/>
      <c r="AF798" s="194"/>
      <c r="AG798" s="194"/>
      <c r="AH798" s="194"/>
      <c r="AI798" s="194"/>
      <c r="AJ798" s="194"/>
      <c r="AK798" s="194"/>
    </row>
    <row r="799" spans="3:37">
      <c r="C799" s="1029" t="s">
        <v>394</v>
      </c>
      <c r="D799" s="1029" t="s">
        <v>395</v>
      </c>
      <c r="E799" s="196" t="s">
        <v>361</v>
      </c>
      <c r="F799" s="199">
        <v>0.15018000000000001</v>
      </c>
      <c r="G799" s="199">
        <v>0.14885999999999999</v>
      </c>
      <c r="H799" s="199">
        <v>3.0800000000000002E-6</v>
      </c>
      <c r="I799" s="199">
        <v>1.32E-3</v>
      </c>
      <c r="J799" s="194"/>
      <c r="K799" s="194"/>
      <c r="L799" s="194"/>
      <c r="M799" s="194"/>
      <c r="N799" s="194"/>
      <c r="O799" s="194"/>
      <c r="P799" s="194"/>
      <c r="Q799" s="194"/>
      <c r="R799" s="194"/>
      <c r="S799" s="194"/>
      <c r="T799" s="194"/>
      <c r="U799" s="194"/>
      <c r="V799" s="194"/>
      <c r="W799" s="194"/>
      <c r="X799" s="194"/>
      <c r="Y799" s="194"/>
      <c r="Z799" s="194"/>
      <c r="AA799" s="194"/>
      <c r="AB799" s="194"/>
      <c r="AC799" s="194"/>
      <c r="AD799" s="194"/>
      <c r="AE799" s="194"/>
      <c r="AF799" s="194"/>
      <c r="AG799" s="194"/>
      <c r="AH799" s="194"/>
      <c r="AI799" s="194"/>
      <c r="AJ799" s="194"/>
      <c r="AK799" s="194"/>
    </row>
    <row r="800" spans="3:37">
      <c r="C800" s="1029"/>
      <c r="D800" s="1029"/>
      <c r="E800" s="196" t="s">
        <v>384</v>
      </c>
      <c r="F800" s="199">
        <v>0.21024000000000001</v>
      </c>
      <c r="G800" s="199">
        <v>0.2084</v>
      </c>
      <c r="H800" s="199">
        <v>4.3200000000000001E-6</v>
      </c>
      <c r="I800" s="199">
        <v>1.8400000000000001E-3</v>
      </c>
      <c r="J800" s="194"/>
      <c r="K800" s="194"/>
      <c r="L800" s="194"/>
      <c r="M800" s="194"/>
      <c r="N800" s="194"/>
      <c r="O800" s="194"/>
      <c r="P800" s="194"/>
      <c r="Q800" s="194"/>
      <c r="R800" s="194"/>
      <c r="S800" s="194"/>
      <c r="T800" s="194"/>
      <c r="U800" s="194"/>
      <c r="V800" s="194"/>
      <c r="W800" s="194"/>
      <c r="X800" s="194"/>
      <c r="Y800" s="194"/>
      <c r="Z800" s="194"/>
      <c r="AA800" s="194"/>
      <c r="AB800" s="194"/>
      <c r="AC800" s="194"/>
      <c r="AD800" s="194"/>
      <c r="AE800" s="194"/>
      <c r="AF800" s="194"/>
      <c r="AG800" s="194"/>
      <c r="AH800" s="194"/>
      <c r="AI800" s="194"/>
      <c r="AJ800" s="194"/>
      <c r="AK800" s="194"/>
    </row>
    <row r="801" spans="3:37">
      <c r="C801" s="1029"/>
      <c r="D801" s="1029" t="s">
        <v>396</v>
      </c>
      <c r="E801" s="196" t="s">
        <v>361</v>
      </c>
      <c r="F801" s="199">
        <v>0.21176</v>
      </c>
      <c r="G801" s="199">
        <v>0.21052999999999999</v>
      </c>
      <c r="H801" s="199">
        <v>2.88E-6</v>
      </c>
      <c r="I801" s="199">
        <v>1.23E-3</v>
      </c>
      <c r="J801" s="194"/>
      <c r="K801" s="194"/>
      <c r="L801" s="194"/>
      <c r="M801" s="194"/>
      <c r="N801" s="194"/>
      <c r="O801" s="194"/>
      <c r="P801" s="194"/>
      <c r="Q801" s="194"/>
      <c r="R801" s="194"/>
      <c r="S801" s="194"/>
      <c r="T801" s="194"/>
      <c r="U801" s="194"/>
      <c r="V801" s="194"/>
      <c r="W801" s="194"/>
      <c r="X801" s="194"/>
      <c r="Y801" s="194"/>
      <c r="Z801" s="194"/>
      <c r="AA801" s="194"/>
      <c r="AB801" s="194"/>
      <c r="AC801" s="194"/>
      <c r="AD801" s="194"/>
      <c r="AE801" s="194"/>
      <c r="AF801" s="194"/>
      <c r="AG801" s="194"/>
      <c r="AH801" s="194"/>
      <c r="AI801" s="194"/>
      <c r="AJ801" s="194"/>
      <c r="AK801" s="194"/>
    </row>
    <row r="802" spans="3:37">
      <c r="C802" s="1029"/>
      <c r="D802" s="1029"/>
      <c r="E802" s="196" t="s">
        <v>384</v>
      </c>
      <c r="F802" s="199">
        <v>0.31763999999999998</v>
      </c>
      <c r="G802" s="199">
        <v>0.31580000000000003</v>
      </c>
      <c r="H802" s="199">
        <v>4.3200000000000001E-6</v>
      </c>
      <c r="I802" s="199">
        <v>1.8400000000000001E-3</v>
      </c>
      <c r="J802" s="194"/>
      <c r="K802" s="194"/>
      <c r="L802" s="194"/>
      <c r="M802" s="194"/>
      <c r="N802" s="194"/>
      <c r="O802" s="194"/>
      <c r="P802" s="194"/>
      <c r="Q802" s="194"/>
      <c r="R802" s="194"/>
      <c r="S802" s="194"/>
      <c r="T802" s="194"/>
      <c r="U802" s="194"/>
      <c r="V802" s="194"/>
      <c r="W802" s="194"/>
      <c r="X802" s="194"/>
      <c r="Y802" s="194"/>
      <c r="Z802" s="194"/>
      <c r="AA802" s="194"/>
      <c r="AB802" s="194"/>
      <c r="AC802" s="194"/>
      <c r="AD802" s="194"/>
      <c r="AE802" s="194"/>
      <c r="AF802" s="194"/>
      <c r="AG802" s="194"/>
      <c r="AH802" s="194"/>
      <c r="AI802" s="194"/>
      <c r="AJ802" s="194"/>
      <c r="AK802" s="194"/>
    </row>
    <row r="803" spans="3:37">
      <c r="C803" s="194"/>
      <c r="D803" s="194"/>
      <c r="E803" s="194"/>
      <c r="F803" s="194"/>
      <c r="G803" s="194"/>
      <c r="H803" s="194"/>
      <c r="I803" s="194"/>
      <c r="J803" s="194"/>
      <c r="K803" s="194"/>
      <c r="L803" s="194"/>
      <c r="M803" s="194"/>
      <c r="N803" s="194"/>
      <c r="O803" s="194"/>
      <c r="P803" s="194"/>
      <c r="Q803" s="194"/>
      <c r="R803" s="194"/>
      <c r="S803" s="194"/>
      <c r="T803" s="194"/>
      <c r="U803" s="194"/>
      <c r="V803" s="194"/>
      <c r="W803" s="194"/>
      <c r="X803" s="194"/>
      <c r="Y803" s="194"/>
      <c r="Z803" s="194"/>
      <c r="AA803" s="194"/>
      <c r="AB803" s="194"/>
      <c r="AC803" s="194"/>
      <c r="AD803" s="194"/>
      <c r="AE803" s="194"/>
      <c r="AF803" s="194"/>
      <c r="AG803" s="194"/>
      <c r="AH803" s="194"/>
      <c r="AI803" s="194"/>
      <c r="AJ803" s="194"/>
      <c r="AK803" s="194"/>
    </row>
    <row r="804" spans="3:37">
      <c r="C804" s="194"/>
      <c r="D804" s="194"/>
      <c r="E804" s="194"/>
      <c r="F804" s="194"/>
      <c r="G804" s="194"/>
      <c r="H804" s="194"/>
      <c r="I804" s="194"/>
      <c r="J804" s="194"/>
      <c r="K804" s="194"/>
      <c r="L804" s="194"/>
      <c r="M804" s="194"/>
      <c r="N804" s="194"/>
      <c r="O804" s="194"/>
      <c r="P804" s="194"/>
      <c r="Q804" s="194"/>
      <c r="R804" s="194"/>
      <c r="S804" s="194"/>
      <c r="T804" s="194"/>
      <c r="U804" s="194"/>
      <c r="V804" s="194"/>
      <c r="W804" s="194"/>
      <c r="X804" s="194"/>
      <c r="Y804" s="194"/>
      <c r="Z804" s="194"/>
      <c r="AA804" s="194"/>
      <c r="AB804" s="194"/>
      <c r="AC804" s="194"/>
      <c r="AD804" s="194"/>
      <c r="AE804" s="194"/>
      <c r="AF804" s="194"/>
      <c r="AG804" s="194"/>
      <c r="AH804" s="194"/>
      <c r="AI804" s="194"/>
      <c r="AJ804" s="194"/>
      <c r="AK804" s="194"/>
    </row>
    <row r="805" spans="3:37">
      <c r="C805" s="194"/>
      <c r="D805" s="194"/>
      <c r="E805" s="194"/>
      <c r="F805" s="194"/>
      <c r="G805" s="194"/>
      <c r="H805" s="194"/>
      <c r="I805" s="194"/>
      <c r="J805" s="194"/>
      <c r="K805" s="194"/>
      <c r="L805" s="194"/>
      <c r="M805" s="194"/>
      <c r="N805" s="194"/>
      <c r="O805" s="194"/>
      <c r="P805" s="194"/>
      <c r="Q805" s="194"/>
      <c r="R805" s="194"/>
      <c r="S805" s="194"/>
      <c r="T805" s="194"/>
      <c r="U805" s="194"/>
      <c r="V805" s="194"/>
      <c r="W805" s="194"/>
      <c r="X805" s="194"/>
      <c r="Y805" s="194"/>
      <c r="Z805" s="194"/>
      <c r="AA805" s="194"/>
      <c r="AB805" s="194"/>
      <c r="AC805" s="194"/>
      <c r="AD805" s="194"/>
      <c r="AE805" s="194"/>
      <c r="AF805" s="194"/>
      <c r="AG805" s="194"/>
      <c r="AH805" s="194"/>
      <c r="AI805" s="194"/>
      <c r="AJ805" s="194"/>
      <c r="AK805" s="194"/>
    </row>
    <row r="806" spans="3:37" ht="18">
      <c r="C806" s="195" t="s">
        <v>354</v>
      </c>
      <c r="D806" s="195" t="s">
        <v>369</v>
      </c>
      <c r="E806" s="195" t="s">
        <v>194</v>
      </c>
      <c r="F806" s="196" t="s">
        <v>413</v>
      </c>
      <c r="G806" s="196" t="s">
        <v>414</v>
      </c>
      <c r="H806" s="196" t="s">
        <v>415</v>
      </c>
      <c r="I806" s="196" t="s">
        <v>416</v>
      </c>
      <c r="J806" s="194"/>
      <c r="K806" s="194"/>
      <c r="L806" s="194"/>
      <c r="M806" s="194"/>
      <c r="N806" s="194"/>
      <c r="O806" s="194"/>
      <c r="P806" s="194"/>
      <c r="Q806" s="194"/>
      <c r="R806" s="194"/>
      <c r="S806" s="194"/>
      <c r="T806" s="194"/>
      <c r="U806" s="194"/>
      <c r="V806" s="194"/>
      <c r="W806" s="194"/>
      <c r="X806" s="194"/>
      <c r="Y806" s="194"/>
      <c r="Z806" s="194"/>
      <c r="AA806" s="194"/>
      <c r="AB806" s="194"/>
      <c r="AC806" s="194"/>
      <c r="AD806" s="194"/>
      <c r="AE806" s="194"/>
      <c r="AF806" s="194"/>
      <c r="AG806" s="194"/>
      <c r="AH806" s="194"/>
      <c r="AI806" s="194"/>
      <c r="AJ806" s="194"/>
      <c r="AK806" s="194"/>
    </row>
    <row r="807" spans="3:37">
      <c r="C807" s="1029" t="s">
        <v>397</v>
      </c>
      <c r="D807" s="196" t="s">
        <v>398</v>
      </c>
      <c r="E807" s="196" t="s">
        <v>361</v>
      </c>
      <c r="F807" s="201">
        <v>0.12076000000000001</v>
      </c>
      <c r="G807" s="201">
        <v>0.11974</v>
      </c>
      <c r="H807" s="201">
        <v>3.0000000000000001E-5</v>
      </c>
      <c r="I807" s="201">
        <v>9.8999999999999999E-4</v>
      </c>
      <c r="J807" s="194"/>
      <c r="K807" s="194"/>
      <c r="L807" s="194"/>
      <c r="M807" s="194"/>
      <c r="N807" s="194"/>
      <c r="O807" s="194"/>
      <c r="P807" s="194"/>
      <c r="Q807" s="194"/>
      <c r="R807" s="194"/>
      <c r="S807" s="194"/>
      <c r="T807" s="194"/>
      <c r="U807" s="194"/>
      <c r="V807" s="194"/>
      <c r="W807" s="194"/>
      <c r="X807" s="194"/>
      <c r="Y807" s="194"/>
      <c r="Z807" s="194"/>
      <c r="AA807" s="194"/>
      <c r="AB807" s="194"/>
      <c r="AC807" s="194"/>
      <c r="AD807" s="194"/>
      <c r="AE807" s="194"/>
      <c r="AF807" s="194"/>
      <c r="AG807" s="194"/>
      <c r="AH807" s="194"/>
      <c r="AI807" s="194"/>
      <c r="AJ807" s="194"/>
      <c r="AK807" s="194"/>
    </row>
    <row r="808" spans="3:37">
      <c r="C808" s="1029"/>
      <c r="D808" s="196" t="s">
        <v>399</v>
      </c>
      <c r="E808" s="196" t="s">
        <v>361</v>
      </c>
      <c r="F808" s="201">
        <v>8.2079999999999986E-2</v>
      </c>
      <c r="G808" s="201">
        <v>8.1629999999999994E-2</v>
      </c>
      <c r="H808" s="201">
        <v>1.0000000000000001E-5</v>
      </c>
      <c r="I808" s="201">
        <v>4.4000000000000002E-4</v>
      </c>
      <c r="J808" s="194"/>
      <c r="K808" s="194"/>
      <c r="L808" s="194"/>
      <c r="M808" s="194"/>
      <c r="N808" s="194"/>
      <c r="O808" s="194"/>
      <c r="P808" s="194"/>
      <c r="Q808" s="194"/>
      <c r="R808" s="194"/>
      <c r="S808" s="194"/>
      <c r="T808" s="194"/>
      <c r="U808" s="194"/>
      <c r="V808" s="194"/>
      <c r="W808" s="194"/>
      <c r="X808" s="194"/>
      <c r="Y808" s="194"/>
      <c r="Z808" s="194"/>
      <c r="AA808" s="194"/>
      <c r="AB808" s="194"/>
      <c r="AC808" s="194"/>
      <c r="AD808" s="194"/>
      <c r="AE808" s="194"/>
      <c r="AF808" s="194"/>
      <c r="AG808" s="194"/>
      <c r="AH808" s="194"/>
      <c r="AI808" s="194"/>
      <c r="AJ808" s="194"/>
      <c r="AK808" s="194"/>
    </row>
    <row r="809" spans="3:37">
      <c r="C809" s="1029"/>
      <c r="D809" s="196" t="s">
        <v>400</v>
      </c>
      <c r="E809" s="196" t="s">
        <v>361</v>
      </c>
      <c r="F809" s="201">
        <v>0.10471000000000001</v>
      </c>
      <c r="G809" s="201">
        <v>0.10391</v>
      </c>
      <c r="H809" s="201">
        <v>3.0000000000000001E-5</v>
      </c>
      <c r="I809" s="201">
        <v>7.6999999999999996E-4</v>
      </c>
      <c r="J809" s="194"/>
      <c r="K809" s="194"/>
      <c r="L809" s="194"/>
      <c r="M809" s="194"/>
      <c r="N809" s="194"/>
      <c r="O809" s="194"/>
      <c r="P809" s="194"/>
      <c r="Q809" s="194"/>
      <c r="R809" s="194"/>
      <c r="S809" s="194"/>
      <c r="T809" s="194"/>
      <c r="U809" s="194"/>
      <c r="V809" s="194"/>
      <c r="W809" s="194"/>
      <c r="X809" s="194"/>
      <c r="Y809" s="194"/>
      <c r="Z809" s="194"/>
      <c r="AA809" s="194"/>
      <c r="AB809" s="194"/>
      <c r="AC809" s="194"/>
      <c r="AD809" s="194"/>
      <c r="AE809" s="194"/>
      <c r="AF809" s="194"/>
      <c r="AG809" s="194"/>
      <c r="AH809" s="194"/>
      <c r="AI809" s="194"/>
      <c r="AJ809" s="194"/>
      <c r="AK809" s="194"/>
    </row>
    <row r="810" spans="3:37">
      <c r="C810" s="1029"/>
      <c r="D810" s="196" t="s">
        <v>401</v>
      </c>
      <c r="E810" s="196" t="s">
        <v>361</v>
      </c>
      <c r="F810" s="201">
        <v>2.7789999999999999E-2</v>
      </c>
      <c r="G810" s="201">
        <v>2.7279999999999999E-2</v>
      </c>
      <c r="H810" s="201">
        <v>2.0000000000000002E-5</v>
      </c>
      <c r="I810" s="201">
        <v>4.8999999999999998E-4</v>
      </c>
      <c r="J810" s="194"/>
      <c r="K810" s="194"/>
      <c r="L810" s="194"/>
      <c r="M810" s="194"/>
      <c r="N810" s="194"/>
      <c r="O810" s="194"/>
      <c r="P810" s="194"/>
      <c r="Q810" s="194"/>
      <c r="R810" s="194"/>
      <c r="S810" s="194"/>
      <c r="T810" s="194"/>
      <c r="U810" s="194"/>
      <c r="V810" s="194"/>
      <c r="W810" s="194"/>
      <c r="X810" s="194"/>
      <c r="Y810" s="194"/>
      <c r="Z810" s="194"/>
      <c r="AA810" s="194"/>
      <c r="AB810" s="194"/>
      <c r="AC810" s="194"/>
      <c r="AD810" s="194"/>
      <c r="AE810" s="194"/>
      <c r="AF810" s="194"/>
      <c r="AG810" s="194"/>
      <c r="AH810" s="194"/>
      <c r="AI810" s="194"/>
      <c r="AJ810" s="194"/>
      <c r="AK810" s="194"/>
    </row>
    <row r="811" spans="3:37">
      <c r="C811" s="194"/>
      <c r="D811" s="194"/>
      <c r="E811" s="194"/>
      <c r="F811" s="194"/>
      <c r="G811" s="194"/>
      <c r="H811" s="194"/>
      <c r="I811" s="194"/>
      <c r="J811" s="194"/>
      <c r="K811" s="194"/>
      <c r="L811" s="194"/>
      <c r="M811" s="194"/>
      <c r="N811" s="194"/>
      <c r="O811" s="194"/>
      <c r="P811" s="194"/>
      <c r="Q811" s="194"/>
      <c r="R811" s="194"/>
      <c r="S811" s="194"/>
      <c r="T811" s="194"/>
      <c r="U811" s="194"/>
      <c r="V811" s="194"/>
      <c r="W811" s="194"/>
      <c r="X811" s="194"/>
      <c r="Y811" s="194"/>
      <c r="Z811" s="194"/>
      <c r="AA811" s="194"/>
      <c r="AB811" s="194"/>
      <c r="AC811" s="194"/>
      <c r="AD811" s="194"/>
      <c r="AE811" s="194"/>
      <c r="AF811" s="194"/>
      <c r="AG811" s="194"/>
      <c r="AH811" s="194"/>
      <c r="AI811" s="194"/>
      <c r="AJ811" s="194"/>
      <c r="AK811" s="194"/>
    </row>
    <row r="812" spans="3:37">
      <c r="C812" s="194"/>
      <c r="D812" s="194"/>
      <c r="E812" s="194"/>
      <c r="F812" s="194"/>
      <c r="G812" s="194"/>
      <c r="H812" s="194"/>
      <c r="I812" s="194"/>
      <c r="J812" s="194"/>
      <c r="K812" s="194"/>
      <c r="L812" s="194"/>
      <c r="M812" s="194"/>
      <c r="N812" s="194"/>
      <c r="O812" s="194"/>
      <c r="P812" s="194"/>
      <c r="Q812" s="194"/>
      <c r="R812" s="194"/>
      <c r="S812" s="194"/>
      <c r="T812" s="194"/>
      <c r="U812" s="194"/>
      <c r="V812" s="194"/>
      <c r="W812" s="194"/>
      <c r="X812" s="194"/>
      <c r="Y812" s="194"/>
      <c r="Z812" s="194"/>
      <c r="AA812" s="194"/>
      <c r="AB812" s="194"/>
      <c r="AC812" s="194"/>
      <c r="AD812" s="194"/>
      <c r="AE812" s="194"/>
      <c r="AF812" s="194"/>
      <c r="AG812" s="194"/>
      <c r="AH812" s="194"/>
      <c r="AI812" s="194"/>
      <c r="AJ812" s="194"/>
      <c r="AK812" s="194"/>
    </row>
    <row r="813" spans="3:37">
      <c r="C813" s="194"/>
      <c r="D813" s="194"/>
      <c r="E813" s="194"/>
      <c r="F813" s="194"/>
      <c r="G813" s="194"/>
      <c r="H813" s="194"/>
      <c r="I813" s="194"/>
      <c r="J813" s="194"/>
      <c r="K813" s="194"/>
      <c r="L813" s="194"/>
      <c r="M813" s="194"/>
      <c r="N813" s="194"/>
      <c r="O813" s="194"/>
      <c r="P813" s="194"/>
      <c r="Q813" s="194"/>
      <c r="R813" s="194"/>
      <c r="S813" s="194"/>
      <c r="T813" s="194"/>
      <c r="U813" s="194"/>
      <c r="V813" s="194"/>
      <c r="W813" s="194"/>
      <c r="X813" s="194"/>
      <c r="Y813" s="194"/>
      <c r="Z813" s="194"/>
      <c r="AA813" s="194"/>
      <c r="AB813" s="194"/>
      <c r="AC813" s="194"/>
      <c r="AD813" s="194"/>
      <c r="AE813" s="194"/>
      <c r="AF813" s="194"/>
      <c r="AG813" s="194"/>
      <c r="AH813" s="194"/>
      <c r="AI813" s="194"/>
      <c r="AJ813" s="194"/>
      <c r="AK813" s="194"/>
    </row>
    <row r="814" spans="3:37" ht="18">
      <c r="C814" s="195" t="s">
        <v>354</v>
      </c>
      <c r="D814" s="195" t="s">
        <v>369</v>
      </c>
      <c r="E814" s="195" t="s">
        <v>194</v>
      </c>
      <c r="F814" s="196" t="s">
        <v>413</v>
      </c>
      <c r="G814" s="196" t="s">
        <v>414</v>
      </c>
      <c r="H814" s="196" t="s">
        <v>415</v>
      </c>
      <c r="I814" s="196" t="s">
        <v>416</v>
      </c>
      <c r="J814" s="194"/>
      <c r="K814" s="194"/>
      <c r="L814" s="194"/>
      <c r="M814" s="194"/>
      <c r="N814" s="194"/>
      <c r="O814" s="194"/>
      <c r="P814" s="194"/>
      <c r="Q814" s="194"/>
      <c r="R814" s="194"/>
      <c r="S814" s="194"/>
      <c r="T814" s="194"/>
      <c r="U814" s="194"/>
      <c r="V814" s="194"/>
      <c r="W814" s="194"/>
      <c r="X814" s="194"/>
      <c r="Y814" s="194"/>
      <c r="Z814" s="194"/>
      <c r="AA814" s="194"/>
      <c r="AB814" s="194"/>
      <c r="AC814" s="194"/>
      <c r="AD814" s="194"/>
      <c r="AE814" s="194"/>
      <c r="AF814" s="194"/>
      <c r="AG814" s="194"/>
      <c r="AH814" s="194"/>
      <c r="AI814" s="194"/>
      <c r="AJ814" s="194"/>
      <c r="AK814" s="194"/>
    </row>
    <row r="815" spans="3:37">
      <c r="C815" s="1029" t="s">
        <v>402</v>
      </c>
      <c r="D815" s="196" t="s">
        <v>403</v>
      </c>
      <c r="E815" s="196" t="s">
        <v>361</v>
      </c>
      <c r="F815" s="199">
        <v>4.1149999999999999E-2</v>
      </c>
      <c r="G815" s="199">
        <v>4.0770000000000001E-2</v>
      </c>
      <c r="H815" s="199">
        <v>6.9999999999999994E-5</v>
      </c>
      <c r="I815" s="199">
        <v>3.1E-4</v>
      </c>
      <c r="J815" s="194"/>
      <c r="K815" s="194"/>
      <c r="L815" s="194"/>
      <c r="M815" s="194"/>
      <c r="N815" s="194"/>
      <c r="O815" s="194"/>
      <c r="P815" s="194"/>
      <c r="Q815" s="194"/>
      <c r="R815" s="194"/>
      <c r="S815" s="194"/>
      <c r="T815" s="194"/>
      <c r="U815" s="194"/>
      <c r="V815" s="194"/>
      <c r="W815" s="194"/>
      <c r="X815" s="194"/>
      <c r="Y815" s="194"/>
      <c r="Z815" s="194"/>
      <c r="AA815" s="194"/>
      <c r="AB815" s="194"/>
      <c r="AC815" s="194"/>
      <c r="AD815" s="194"/>
      <c r="AE815" s="194"/>
      <c r="AF815" s="194"/>
      <c r="AG815" s="194"/>
      <c r="AH815" s="194"/>
      <c r="AI815" s="194"/>
      <c r="AJ815" s="194"/>
      <c r="AK815" s="194"/>
    </row>
    <row r="816" spans="3:37">
      <c r="C816" s="1029"/>
      <c r="D816" s="196" t="s">
        <v>404</v>
      </c>
      <c r="E816" s="196" t="s">
        <v>361</v>
      </c>
      <c r="F816" s="199">
        <v>5.9699999999999996E-3</v>
      </c>
      <c r="G816" s="199">
        <v>5.9199999999999999E-3</v>
      </c>
      <c r="H816" s="199">
        <v>2.0000000000000002E-5</v>
      </c>
      <c r="I816" s="199">
        <v>3.0000000000000001E-5</v>
      </c>
      <c r="J816" s="194"/>
      <c r="K816" s="194"/>
      <c r="L816" s="194"/>
      <c r="M816" s="194"/>
      <c r="N816" s="194"/>
      <c r="O816" s="194"/>
      <c r="P816" s="194"/>
      <c r="Q816" s="194"/>
      <c r="R816" s="194"/>
      <c r="S816" s="194"/>
      <c r="T816" s="194"/>
      <c r="U816" s="194"/>
      <c r="V816" s="194"/>
      <c r="W816" s="194"/>
      <c r="X816" s="194"/>
      <c r="Y816" s="194"/>
      <c r="Z816" s="194"/>
      <c r="AA816" s="194"/>
      <c r="AB816" s="194"/>
      <c r="AC816" s="194"/>
      <c r="AD816" s="194"/>
      <c r="AE816" s="194"/>
      <c r="AF816" s="194"/>
      <c r="AG816" s="194"/>
      <c r="AH816" s="194"/>
      <c r="AI816" s="194"/>
      <c r="AJ816" s="194"/>
      <c r="AK816" s="194"/>
    </row>
    <row r="817" spans="3:37">
      <c r="C817" s="1029"/>
      <c r="D817" s="196" t="s">
        <v>405</v>
      </c>
      <c r="E817" s="196" t="s">
        <v>361</v>
      </c>
      <c r="F817" s="199">
        <v>3.508E-2</v>
      </c>
      <c r="G817" s="199">
        <v>3.4799999999999998E-2</v>
      </c>
      <c r="H817" s="199">
        <v>9.0000000000000006E-5</v>
      </c>
      <c r="I817" s="199">
        <v>1.9000000000000001E-4</v>
      </c>
      <c r="J817" s="194"/>
      <c r="K817" s="194"/>
      <c r="L817" s="194"/>
      <c r="M817" s="194"/>
      <c r="N817" s="194"/>
      <c r="O817" s="194"/>
      <c r="P817" s="194"/>
      <c r="Q817" s="194"/>
      <c r="R817" s="194"/>
      <c r="S817" s="194"/>
      <c r="T817" s="194"/>
      <c r="U817" s="194"/>
      <c r="V817" s="194"/>
      <c r="W817" s="194"/>
      <c r="X817" s="194"/>
      <c r="Y817" s="194"/>
      <c r="Z817" s="194"/>
      <c r="AA817" s="194"/>
      <c r="AB817" s="194"/>
      <c r="AC817" s="194"/>
      <c r="AD817" s="194"/>
      <c r="AE817" s="194"/>
      <c r="AF817" s="194"/>
      <c r="AG817" s="194"/>
      <c r="AH817" s="194"/>
      <c r="AI817" s="194"/>
      <c r="AJ817" s="194"/>
      <c r="AK817" s="194"/>
    </row>
    <row r="818" spans="3:37">
      <c r="C818" s="1029"/>
      <c r="D818" s="196" t="s">
        <v>406</v>
      </c>
      <c r="E818" s="196" t="s">
        <v>361</v>
      </c>
      <c r="F818" s="199">
        <v>3.0839999999999999E-2</v>
      </c>
      <c r="G818" s="199">
        <v>3.0589999999999999E-2</v>
      </c>
      <c r="H818" s="199">
        <v>8.0000000000000007E-5</v>
      </c>
      <c r="I818" s="199">
        <v>1.7000000000000001E-4</v>
      </c>
      <c r="J818" s="194"/>
      <c r="K818" s="194"/>
      <c r="L818" s="194"/>
      <c r="M818" s="194"/>
      <c r="N818" s="194"/>
      <c r="O818" s="194"/>
      <c r="P818" s="194"/>
      <c r="Q818" s="194"/>
      <c r="R818" s="194"/>
      <c r="S818" s="194"/>
      <c r="T818" s="194"/>
      <c r="U818" s="194"/>
      <c r="V818" s="194"/>
      <c r="W818" s="194"/>
      <c r="X818" s="194"/>
      <c r="Y818" s="194"/>
      <c r="Z818" s="194"/>
      <c r="AA818" s="194"/>
      <c r="AB818" s="194"/>
      <c r="AC818" s="194"/>
      <c r="AD818" s="194"/>
      <c r="AE818" s="194"/>
      <c r="AF818" s="194"/>
      <c r="AG818" s="194"/>
      <c r="AH818" s="194"/>
      <c r="AI818" s="194"/>
      <c r="AJ818" s="194"/>
      <c r="AK818" s="194"/>
    </row>
    <row r="822" spans="3:37">
      <c r="C822" t="s">
        <v>547</v>
      </c>
      <c r="D822" t="s">
        <v>548</v>
      </c>
      <c r="E822" t="s">
        <v>549</v>
      </c>
      <c r="O822">
        <v>13</v>
      </c>
      <c r="P822">
        <v>14</v>
      </c>
      <c r="Q822">
        <v>15</v>
      </c>
    </row>
    <row r="823" spans="3:37">
      <c r="E823" t="s">
        <v>550</v>
      </c>
    </row>
    <row r="824" spans="3:37">
      <c r="E824" t="s">
        <v>553</v>
      </c>
      <c r="F824" t="s">
        <v>554</v>
      </c>
      <c r="G824" t="s">
        <v>555</v>
      </c>
      <c r="H824" t="s">
        <v>556</v>
      </c>
      <c r="I824" t="s">
        <v>557</v>
      </c>
      <c r="J824" t="s">
        <v>558</v>
      </c>
      <c r="K824" t="s">
        <v>559</v>
      </c>
      <c r="O824" t="s">
        <v>560</v>
      </c>
      <c r="P824" t="s">
        <v>561</v>
      </c>
      <c r="Q824" t="s">
        <v>562</v>
      </c>
    </row>
    <row r="825" spans="3:37">
      <c r="C825" t="s">
        <v>67</v>
      </c>
      <c r="D825" t="s">
        <v>564</v>
      </c>
      <c r="E825">
        <v>1039.635</v>
      </c>
      <c r="F825">
        <v>8.2000000000000003E-2</v>
      </c>
      <c r="G825">
        <v>1.0999999999999999E-2</v>
      </c>
      <c r="H825">
        <v>1044.989</v>
      </c>
      <c r="I825">
        <v>5.47</v>
      </c>
      <c r="J825">
        <v>5.4189999999999996</v>
      </c>
      <c r="K825">
        <v>1.1000000000000001</v>
      </c>
      <c r="O825">
        <v>0.47157050358495006</v>
      </c>
      <c r="P825">
        <v>3.7194574340000008E-5</v>
      </c>
      <c r="Q825">
        <v>4.9895160700000003E-6</v>
      </c>
    </row>
    <row r="826" spans="3:37">
      <c r="C826" t="s">
        <v>566</v>
      </c>
      <c r="D826" t="s">
        <v>567</v>
      </c>
      <c r="E826">
        <v>525.08299999999997</v>
      </c>
      <c r="F826">
        <v>2.4E-2</v>
      </c>
      <c r="G826">
        <v>4.0000000000000001E-3</v>
      </c>
      <c r="H826">
        <v>526.96299999999997</v>
      </c>
      <c r="I826">
        <v>7.7119999999999997</v>
      </c>
      <c r="J826">
        <v>7.8440000000000003</v>
      </c>
      <c r="K826">
        <v>0.67700000000000005</v>
      </c>
      <c r="O826">
        <v>0.23817364241671002</v>
      </c>
      <c r="P826">
        <v>1.0886216880000001E-5</v>
      </c>
      <c r="Q826">
        <v>1.8143694800000002E-6</v>
      </c>
    </row>
    <row r="827" spans="3:37">
      <c r="C827" t="s">
        <v>568</v>
      </c>
      <c r="D827" t="s">
        <v>569</v>
      </c>
      <c r="E827">
        <v>1022.355</v>
      </c>
      <c r="F827">
        <v>7.6999999999999999E-2</v>
      </c>
      <c r="G827">
        <v>1.0999999999999999E-2</v>
      </c>
      <c r="H827">
        <v>1027.548</v>
      </c>
      <c r="I827">
        <v>0.73</v>
      </c>
      <c r="J827">
        <v>0.71899999999999997</v>
      </c>
      <c r="K827">
        <v>0.26300000000000001</v>
      </c>
      <c r="O827">
        <v>0.46373242743135007</v>
      </c>
      <c r="P827">
        <v>3.492661249E-5</v>
      </c>
      <c r="Q827">
        <v>4.9895160700000003E-6</v>
      </c>
    </row>
    <row r="828" spans="3:37">
      <c r="C828" t="s">
        <v>570</v>
      </c>
      <c r="D828" t="s">
        <v>571</v>
      </c>
      <c r="E828">
        <v>496.536</v>
      </c>
      <c r="F828">
        <v>3.4000000000000002E-2</v>
      </c>
      <c r="G828">
        <v>4.0000000000000001E-3</v>
      </c>
      <c r="H828">
        <v>498.68599999999998</v>
      </c>
      <c r="I828">
        <v>0.46300000000000002</v>
      </c>
      <c r="J828">
        <v>0.41399999999999998</v>
      </c>
      <c r="K828">
        <v>4.7E-2</v>
      </c>
      <c r="O828">
        <v>0.22522494103032001</v>
      </c>
      <c r="P828">
        <v>1.5422140580000002E-5</v>
      </c>
      <c r="Q828">
        <v>1.8143694800000002E-6</v>
      </c>
    </row>
    <row r="829" spans="3:37">
      <c r="C829" t="s">
        <v>572</v>
      </c>
      <c r="D829" t="s">
        <v>573</v>
      </c>
      <c r="E829">
        <v>931.67200000000003</v>
      </c>
      <c r="F829">
        <v>6.6000000000000003E-2</v>
      </c>
      <c r="G829">
        <v>8.9999999999999993E-3</v>
      </c>
      <c r="H829">
        <v>936.08199999999999</v>
      </c>
      <c r="I829">
        <v>0.54500000000000004</v>
      </c>
      <c r="J829">
        <v>0.55400000000000005</v>
      </c>
      <c r="K829">
        <v>0.82899999999999996</v>
      </c>
      <c r="O829">
        <v>0.42259931054264005</v>
      </c>
      <c r="P829">
        <v>2.9937096420000004E-5</v>
      </c>
      <c r="Q829">
        <v>4.0823313299999998E-6</v>
      </c>
    </row>
    <row r="830" spans="3:37">
      <c r="C830" t="s">
        <v>574</v>
      </c>
      <c r="D830" t="s">
        <v>575</v>
      </c>
      <c r="E830">
        <v>931.84199999999998</v>
      </c>
      <c r="F830">
        <v>6.6000000000000003E-2</v>
      </c>
      <c r="G830">
        <v>8.9999999999999993E-3</v>
      </c>
      <c r="H830">
        <v>936.14499999999998</v>
      </c>
      <c r="I830">
        <v>0.35599999999999998</v>
      </c>
      <c r="J830">
        <v>0.36499999999999999</v>
      </c>
      <c r="K830">
        <v>0.27800000000000002</v>
      </c>
      <c r="O830">
        <v>0.42267642124554006</v>
      </c>
      <c r="P830">
        <v>2.9937096420000004E-5</v>
      </c>
      <c r="Q830">
        <v>4.0823313299999998E-6</v>
      </c>
    </row>
    <row r="831" spans="3:37">
      <c r="C831" t="s">
        <v>576</v>
      </c>
      <c r="D831" t="s">
        <v>577</v>
      </c>
      <c r="E831">
        <v>1110.6890000000001</v>
      </c>
      <c r="F831">
        <v>0.11799999999999999</v>
      </c>
      <c r="G831">
        <v>1.7999999999999999E-2</v>
      </c>
      <c r="H831">
        <v>1119.077</v>
      </c>
      <c r="I831">
        <v>7.6379999999999999</v>
      </c>
      <c r="J831">
        <v>7.5819999999999999</v>
      </c>
      <c r="K831">
        <v>3.9689999999999999</v>
      </c>
      <c r="O831">
        <v>0.50380005584293008</v>
      </c>
      <c r="P831">
        <v>5.3523899660000004E-5</v>
      </c>
      <c r="Q831">
        <v>8.1646626599999996E-6</v>
      </c>
    </row>
    <row r="832" spans="3:37">
      <c r="C832" t="s">
        <v>578</v>
      </c>
      <c r="D832" t="s">
        <v>579</v>
      </c>
      <c r="E832">
        <v>1669.943</v>
      </c>
      <c r="F832">
        <v>0.18</v>
      </c>
      <c r="G832">
        <v>2.7E-2</v>
      </c>
      <c r="H832">
        <v>1682.596</v>
      </c>
      <c r="I832">
        <v>3.5150000000000001</v>
      </c>
      <c r="J832">
        <v>3.7730000000000001</v>
      </c>
      <c r="K832">
        <v>7.9969999999999999</v>
      </c>
      <c r="O832">
        <v>0.75747340313491007</v>
      </c>
      <c r="P832">
        <v>8.1646626600000006E-5</v>
      </c>
      <c r="Q832">
        <v>1.224699399E-5</v>
      </c>
    </row>
    <row r="833" spans="3:17">
      <c r="C833" t="s">
        <v>580</v>
      </c>
      <c r="D833" t="s">
        <v>581</v>
      </c>
      <c r="E833">
        <v>1678.0160000000001</v>
      </c>
      <c r="F833">
        <v>0.16900000000000001</v>
      </c>
      <c r="G833">
        <v>2.5000000000000001E-2</v>
      </c>
      <c r="H833">
        <v>1689.6510000000001</v>
      </c>
      <c r="I833">
        <v>0.88</v>
      </c>
      <c r="J833">
        <v>0.88700000000000001</v>
      </c>
      <c r="K833">
        <v>0.89100000000000001</v>
      </c>
      <c r="O833">
        <v>0.76113525433792006</v>
      </c>
      <c r="P833">
        <v>7.665711053000001E-5</v>
      </c>
      <c r="Q833">
        <v>1.1339809250000001E-5</v>
      </c>
    </row>
    <row r="834" spans="3:17">
      <c r="C834" t="s">
        <v>582</v>
      </c>
      <c r="D834" t="s">
        <v>583</v>
      </c>
      <c r="E834">
        <v>1239.848</v>
      </c>
      <c r="F834">
        <v>0.13800000000000001</v>
      </c>
      <c r="G834">
        <v>0.02</v>
      </c>
      <c r="H834">
        <v>1249.201</v>
      </c>
      <c r="I834">
        <v>0.97699999999999998</v>
      </c>
      <c r="J834">
        <v>1.0089999999999999</v>
      </c>
      <c r="K834">
        <v>1.351</v>
      </c>
      <c r="O834">
        <v>0.56238559275976008</v>
      </c>
      <c r="P834">
        <v>6.2595747060000009E-5</v>
      </c>
      <c r="Q834">
        <v>9.0718474000000018E-6</v>
      </c>
    </row>
    <row r="835" spans="3:17">
      <c r="C835" t="s">
        <v>584</v>
      </c>
      <c r="D835" t="s">
        <v>585</v>
      </c>
      <c r="E835">
        <v>522.31200000000001</v>
      </c>
      <c r="F835">
        <v>8.2000000000000003E-2</v>
      </c>
      <c r="G835">
        <v>1.0999999999999999E-2</v>
      </c>
      <c r="H835">
        <v>527.56399999999996</v>
      </c>
      <c r="I835">
        <v>0.38700000000000001</v>
      </c>
      <c r="J835">
        <v>0.35</v>
      </c>
      <c r="K835">
        <v>0.13600000000000001</v>
      </c>
      <c r="O835">
        <v>0.23691673795944002</v>
      </c>
      <c r="P835">
        <v>3.7194574340000008E-5</v>
      </c>
      <c r="Q835">
        <v>4.9895160700000003E-6</v>
      </c>
    </row>
    <row r="836" spans="3:17">
      <c r="C836" t="s">
        <v>586</v>
      </c>
      <c r="D836" t="s">
        <v>587</v>
      </c>
      <c r="E836">
        <v>639.03700000000003</v>
      </c>
      <c r="F836">
        <v>6.4000000000000001E-2</v>
      </c>
      <c r="G836">
        <v>8.9999999999999993E-3</v>
      </c>
      <c r="H836">
        <v>643.36300000000006</v>
      </c>
      <c r="I836">
        <v>0.57999999999999996</v>
      </c>
      <c r="J836">
        <v>0.57699999999999996</v>
      </c>
      <c r="K836">
        <v>0.377</v>
      </c>
      <c r="O836">
        <v>0.28986230734769003</v>
      </c>
      <c r="P836">
        <v>2.9029911680000003E-5</v>
      </c>
      <c r="Q836">
        <v>4.0823313299999998E-6</v>
      </c>
    </row>
    <row r="837" spans="3:17">
      <c r="C837" t="s">
        <v>588</v>
      </c>
      <c r="D837" t="s">
        <v>589</v>
      </c>
      <c r="E837">
        <v>596.41399999999999</v>
      </c>
      <c r="F837">
        <v>2.1999999999999999E-2</v>
      </c>
      <c r="G837">
        <v>3.0000000000000001E-3</v>
      </c>
      <c r="H837">
        <v>597.76199999999994</v>
      </c>
      <c r="I837">
        <v>0.251</v>
      </c>
      <c r="J837">
        <v>0.249</v>
      </c>
      <c r="K837">
        <v>2.5999999999999999E-2</v>
      </c>
      <c r="O837">
        <v>0.27052883976118003</v>
      </c>
      <c r="P837">
        <v>9.9790321400000006E-6</v>
      </c>
      <c r="Q837">
        <v>1.3607771100000001E-6</v>
      </c>
    </row>
    <row r="838" spans="3:17">
      <c r="C838" t="s">
        <v>590</v>
      </c>
      <c r="D838" t="s">
        <v>591</v>
      </c>
      <c r="E838">
        <v>1184.241</v>
      </c>
      <c r="F838">
        <v>0.13900000000000001</v>
      </c>
      <c r="G838">
        <v>1.7999999999999999E-2</v>
      </c>
      <c r="H838">
        <v>1193.0909999999999</v>
      </c>
      <c r="I838">
        <v>0.86</v>
      </c>
      <c r="J838">
        <v>0.82799999999999996</v>
      </c>
      <c r="K838">
        <v>0.23400000000000001</v>
      </c>
      <c r="O838">
        <v>0.53716268184117</v>
      </c>
      <c r="P838">
        <v>6.3049339430000016E-5</v>
      </c>
      <c r="Q838">
        <v>8.1646626599999996E-6</v>
      </c>
    </row>
    <row r="839" spans="3:17">
      <c r="C839" t="s">
        <v>592</v>
      </c>
      <c r="D839" t="s">
        <v>593</v>
      </c>
      <c r="E839">
        <v>253.11199999999999</v>
      </c>
      <c r="F839">
        <v>1.7999999999999999E-2</v>
      </c>
      <c r="G839">
        <v>2E-3</v>
      </c>
      <c r="H839">
        <v>253.88900000000001</v>
      </c>
      <c r="I839">
        <v>0.13600000000000001</v>
      </c>
      <c r="J839">
        <v>0.13600000000000001</v>
      </c>
      <c r="K839">
        <v>9.1999999999999998E-2</v>
      </c>
      <c r="O839">
        <v>0.11480967195544001</v>
      </c>
      <c r="P839">
        <v>8.1646626599999996E-6</v>
      </c>
      <c r="Q839">
        <v>9.071847400000001E-7</v>
      </c>
    </row>
    <row r="840" spans="3:17">
      <c r="C840" t="s">
        <v>594</v>
      </c>
      <c r="D840" t="s">
        <v>595</v>
      </c>
      <c r="E840">
        <v>715.96600000000001</v>
      </c>
      <c r="F840">
        <v>6.0999999999999999E-2</v>
      </c>
      <c r="G840">
        <v>8.0000000000000002E-3</v>
      </c>
      <c r="H840">
        <v>719.97900000000004</v>
      </c>
      <c r="I840">
        <v>0.33300000000000002</v>
      </c>
      <c r="J840">
        <v>0.28799999999999998</v>
      </c>
      <c r="K840">
        <v>0.48</v>
      </c>
      <c r="O840">
        <v>0.32475671477942003</v>
      </c>
      <c r="P840">
        <v>2.7669134570000002E-5</v>
      </c>
      <c r="Q840">
        <v>3.6287389600000004E-6</v>
      </c>
    </row>
    <row r="841" spans="3:17">
      <c r="C841" t="s">
        <v>596</v>
      </c>
      <c r="D841" t="s">
        <v>597</v>
      </c>
      <c r="E841">
        <v>1312.56</v>
      </c>
      <c r="F841">
        <v>0.129</v>
      </c>
      <c r="G841">
        <v>1.7999999999999999E-2</v>
      </c>
      <c r="H841">
        <v>1321.1849999999999</v>
      </c>
      <c r="I841">
        <v>0.79800000000000004</v>
      </c>
      <c r="J841">
        <v>0.79200000000000004</v>
      </c>
      <c r="K841">
        <v>1.296</v>
      </c>
      <c r="O841">
        <v>0.59536720116719999</v>
      </c>
      <c r="P841">
        <v>5.8513415730000006E-5</v>
      </c>
      <c r="Q841">
        <v>8.1646626599999996E-6</v>
      </c>
    </row>
    <row r="842" spans="3:17">
      <c r="C842" t="s">
        <v>598</v>
      </c>
      <c r="D842" t="s">
        <v>599</v>
      </c>
      <c r="E842">
        <v>1166.096</v>
      </c>
      <c r="F842">
        <v>0.11700000000000001</v>
      </c>
      <c r="G842">
        <v>1.7000000000000001E-2</v>
      </c>
      <c r="H842">
        <v>1174.029</v>
      </c>
      <c r="I842">
        <v>0.82499999999999996</v>
      </c>
      <c r="J842">
        <v>0.65200000000000002</v>
      </c>
      <c r="K842">
        <v>0.92500000000000004</v>
      </c>
      <c r="O842">
        <v>0.52893224828752006</v>
      </c>
      <c r="P842">
        <v>5.307030729000001E-5</v>
      </c>
      <c r="Q842">
        <v>7.711070290000001E-6</v>
      </c>
    </row>
    <row r="843" spans="3:17">
      <c r="C843" t="s">
        <v>600</v>
      </c>
      <c r="D843" t="s">
        <v>601</v>
      </c>
      <c r="E843">
        <v>1273.615</v>
      </c>
      <c r="F843">
        <v>0.123</v>
      </c>
      <c r="G843">
        <v>1.7999999999999999E-2</v>
      </c>
      <c r="H843">
        <v>1281.944</v>
      </c>
      <c r="I843">
        <v>0.67300000000000004</v>
      </c>
      <c r="J843">
        <v>0.68899999999999995</v>
      </c>
      <c r="K843">
        <v>0.41799999999999998</v>
      </c>
      <c r="O843">
        <v>0.57770204631755007</v>
      </c>
      <c r="P843">
        <v>5.5791861510000005E-5</v>
      </c>
      <c r="Q843">
        <v>8.1646626599999996E-6</v>
      </c>
    </row>
    <row r="844" spans="3:17">
      <c r="C844" t="s">
        <v>602</v>
      </c>
      <c r="D844" t="s">
        <v>603</v>
      </c>
      <c r="E844">
        <v>1163.1869999999999</v>
      </c>
      <c r="F844">
        <v>0.124</v>
      </c>
      <c r="G844">
        <v>1.7999999999999999E-2</v>
      </c>
      <c r="H844">
        <v>1171.606</v>
      </c>
      <c r="I844">
        <v>0.64200000000000002</v>
      </c>
      <c r="J844">
        <v>0.72</v>
      </c>
      <c r="K844">
        <v>0.33300000000000002</v>
      </c>
      <c r="O844">
        <v>0.52761274808319003</v>
      </c>
      <c r="P844">
        <v>5.6245453880000005E-5</v>
      </c>
      <c r="Q844">
        <v>8.1646626599999996E-6</v>
      </c>
    </row>
    <row r="845" spans="3:17">
      <c r="C845" t="s">
        <v>604</v>
      </c>
      <c r="D845" t="s">
        <v>605</v>
      </c>
      <c r="E845">
        <v>1166.5820000000001</v>
      </c>
      <c r="F845">
        <v>9.0999999999999998E-2</v>
      </c>
      <c r="G845">
        <v>1.2999999999999999E-2</v>
      </c>
      <c r="H845">
        <v>1172.7550000000001</v>
      </c>
      <c r="I845">
        <v>0.83199999999999996</v>
      </c>
      <c r="J845">
        <v>0.88200000000000001</v>
      </c>
      <c r="K845">
        <v>1.242</v>
      </c>
      <c r="O845">
        <v>0.52915269417934008</v>
      </c>
      <c r="P845">
        <v>4.1276905670000003E-5</v>
      </c>
      <c r="Q845">
        <v>5.89670081E-6</v>
      </c>
    </row>
    <row r="846" spans="3:17">
      <c r="C846" t="s">
        <v>606</v>
      </c>
      <c r="D846" t="s">
        <v>607</v>
      </c>
      <c r="E846">
        <v>854.64499999999998</v>
      </c>
      <c r="F846">
        <v>5.5E-2</v>
      </c>
      <c r="G846">
        <v>8.0000000000000002E-3</v>
      </c>
      <c r="H846">
        <v>858.36900000000003</v>
      </c>
      <c r="I846">
        <v>0.61399999999999999</v>
      </c>
      <c r="J846">
        <v>0.67100000000000004</v>
      </c>
      <c r="K846">
        <v>0.96</v>
      </c>
      <c r="O846">
        <v>0.38766045105865005</v>
      </c>
      <c r="P846">
        <v>2.4947580350000004E-5</v>
      </c>
      <c r="Q846">
        <v>3.6287389600000004E-6</v>
      </c>
    </row>
    <row r="847" spans="3:17">
      <c r="C847" t="s">
        <v>608</v>
      </c>
      <c r="D847" t="s">
        <v>609</v>
      </c>
      <c r="E847">
        <v>1664.15</v>
      </c>
      <c r="F847">
        <v>0.185</v>
      </c>
      <c r="G847">
        <v>2.7E-2</v>
      </c>
      <c r="H847">
        <v>1676.7819999999999</v>
      </c>
      <c r="I847">
        <v>1.06</v>
      </c>
      <c r="J847">
        <v>0.79100000000000004</v>
      </c>
      <c r="K847">
        <v>2.488</v>
      </c>
      <c r="O847">
        <v>0.75484574253550007</v>
      </c>
      <c r="P847">
        <v>8.3914588450000001E-5</v>
      </c>
      <c r="Q847">
        <v>1.224699399E-5</v>
      </c>
    </row>
    <row r="848" spans="3:17">
      <c r="C848" t="s">
        <v>610</v>
      </c>
      <c r="D848" t="s">
        <v>611</v>
      </c>
      <c r="E848">
        <v>1027.9280000000001</v>
      </c>
      <c r="F848">
        <v>8.1000000000000003E-2</v>
      </c>
      <c r="G848">
        <v>1.2E-2</v>
      </c>
      <c r="H848">
        <v>1033.471</v>
      </c>
      <c r="I848">
        <v>0.496</v>
      </c>
      <c r="J848">
        <v>0.433</v>
      </c>
      <c r="K848">
        <v>0.29699999999999999</v>
      </c>
      <c r="O848">
        <v>0.46626029770936012</v>
      </c>
      <c r="P848">
        <v>3.6740981970000007E-5</v>
      </c>
      <c r="Q848">
        <v>5.4431084400000006E-6</v>
      </c>
    </row>
    <row r="849" spans="3:17">
      <c r="C849" t="s">
        <v>612</v>
      </c>
      <c r="D849" t="s">
        <v>613</v>
      </c>
      <c r="E849">
        <v>1031.537</v>
      </c>
      <c r="F849">
        <v>9.7000000000000003E-2</v>
      </c>
      <c r="G849">
        <v>1.4E-2</v>
      </c>
      <c r="H849">
        <v>1038.127</v>
      </c>
      <c r="I849">
        <v>0.55100000000000005</v>
      </c>
      <c r="J849">
        <v>0.504</v>
      </c>
      <c r="K849">
        <v>0.61899999999999999</v>
      </c>
      <c r="O849">
        <v>0.46789731257269007</v>
      </c>
      <c r="P849">
        <v>4.3998459890000005E-5</v>
      </c>
      <c r="Q849">
        <v>6.3502931800000011E-6</v>
      </c>
    </row>
    <row r="850" spans="3:17">
      <c r="C850" t="s">
        <v>614</v>
      </c>
      <c r="D850" t="s">
        <v>615</v>
      </c>
      <c r="E850">
        <v>743.32799999999997</v>
      </c>
      <c r="F850">
        <v>6.7000000000000004E-2</v>
      </c>
      <c r="G850">
        <v>8.9999999999999993E-3</v>
      </c>
      <c r="H850">
        <v>747.51300000000003</v>
      </c>
      <c r="I850">
        <v>0.437</v>
      </c>
      <c r="J850">
        <v>0.42599999999999999</v>
      </c>
      <c r="K850">
        <v>0.26300000000000001</v>
      </c>
      <c r="O850">
        <v>0.33716790920736001</v>
      </c>
      <c r="P850">
        <v>3.0390688790000004E-5</v>
      </c>
      <c r="Q850">
        <v>4.0823313299999998E-6</v>
      </c>
    </row>
    <row r="851" spans="3:17">
      <c r="C851" t="s">
        <v>616</v>
      </c>
      <c r="E851">
        <v>947.18200000000002</v>
      </c>
      <c r="F851">
        <v>8.5000000000000006E-2</v>
      </c>
      <c r="G851">
        <v>1.2E-2</v>
      </c>
      <c r="H851">
        <v>952.87699999999995</v>
      </c>
      <c r="I851">
        <v>0.61899999999999999</v>
      </c>
      <c r="J851">
        <v>0.57999999999999996</v>
      </c>
      <c r="K851">
        <v>0.67500000000000004</v>
      </c>
      <c r="O851">
        <v>0.42963452820134007</v>
      </c>
      <c r="P851">
        <v>3.8555351450000009E-5</v>
      </c>
      <c r="Q851">
        <v>5.4431084400000006E-6</v>
      </c>
    </row>
    <row r="854" spans="3:17">
      <c r="C854" t="s">
        <v>617</v>
      </c>
      <c r="O854">
        <v>0.81</v>
      </c>
      <c r="P854">
        <v>0</v>
      </c>
      <c r="Q854">
        <v>0</v>
      </c>
    </row>
    <row r="855" spans="3:17">
      <c r="C855" t="s">
        <v>619</v>
      </c>
      <c r="O855">
        <v>1.02</v>
      </c>
      <c r="P855">
        <v>0</v>
      </c>
      <c r="Q855">
        <v>0</v>
      </c>
    </row>
    <row r="856" spans="3:17">
      <c r="C856" t="s">
        <v>621</v>
      </c>
      <c r="O856">
        <v>0.81</v>
      </c>
      <c r="P856">
        <v>0</v>
      </c>
      <c r="Q856">
        <v>0</v>
      </c>
    </row>
    <row r="857" spans="3:17">
      <c r="C857" t="s">
        <v>623</v>
      </c>
      <c r="O857">
        <v>0.44</v>
      </c>
      <c r="P857">
        <v>0</v>
      </c>
      <c r="Q857">
        <v>0</v>
      </c>
    </row>
    <row r="858" spans="3:17">
      <c r="C858" t="s">
        <v>625</v>
      </c>
      <c r="O858">
        <v>0.69</v>
      </c>
      <c r="P858">
        <v>0</v>
      </c>
      <c r="Q858">
        <v>0</v>
      </c>
    </row>
    <row r="859" spans="3:17">
      <c r="C859" t="s">
        <v>627</v>
      </c>
      <c r="O859">
        <v>0.15</v>
      </c>
      <c r="P859">
        <v>0</v>
      </c>
      <c r="Q859">
        <v>0</v>
      </c>
    </row>
    <row r="860" spans="3:17">
      <c r="C860" t="s">
        <v>629</v>
      </c>
      <c r="O860">
        <v>0.63</v>
      </c>
      <c r="P860">
        <v>0</v>
      </c>
      <c r="Q860">
        <v>0</v>
      </c>
    </row>
    <row r="865" spans="3:17">
      <c r="D865" t="s">
        <v>631</v>
      </c>
      <c r="I865" t="s">
        <v>632</v>
      </c>
      <c r="K865">
        <v>2016</v>
      </c>
      <c r="L865" t="s">
        <v>633</v>
      </c>
    </row>
    <row r="866" spans="3:17">
      <c r="C866" t="s">
        <v>634</v>
      </c>
      <c r="D866" t="s">
        <v>635</v>
      </c>
      <c r="I866">
        <v>140</v>
      </c>
      <c r="K866">
        <v>140</v>
      </c>
      <c r="L866">
        <v>130</v>
      </c>
    </row>
    <row r="867" spans="3:17">
      <c r="C867" t="s">
        <v>634</v>
      </c>
      <c r="D867" t="s">
        <v>636</v>
      </c>
      <c r="I867">
        <v>0.01</v>
      </c>
      <c r="K867">
        <v>0</v>
      </c>
      <c r="L867">
        <v>0</v>
      </c>
    </row>
    <row r="868" spans="3:17">
      <c r="C868" t="s">
        <v>634</v>
      </c>
      <c r="D868" t="s">
        <v>638</v>
      </c>
      <c r="I868">
        <v>3.0000000000000001E-3</v>
      </c>
      <c r="K868">
        <v>0</v>
      </c>
      <c r="L868">
        <v>0</v>
      </c>
      <c r="O868">
        <v>130</v>
      </c>
      <c r="P868">
        <v>0</v>
      </c>
      <c r="Q868">
        <v>0</v>
      </c>
    </row>
    <row r="869" spans="3:17">
      <c r="C869" t="s">
        <v>634</v>
      </c>
      <c r="D869" s="208" t="s">
        <v>639</v>
      </c>
      <c r="E869" s="208"/>
      <c r="F869" s="208"/>
      <c r="G869" s="208"/>
      <c r="H869" s="208"/>
      <c r="I869" s="208">
        <v>140</v>
      </c>
      <c r="J869" s="208"/>
      <c r="K869" s="208">
        <v>140</v>
      </c>
      <c r="L869" s="208">
        <v>130</v>
      </c>
      <c r="O869">
        <v>0.13</v>
      </c>
      <c r="P869">
        <v>0</v>
      </c>
      <c r="Q869">
        <v>0</v>
      </c>
    </row>
    <row r="870" spans="3:17">
      <c r="C870" t="s">
        <v>640</v>
      </c>
      <c r="D870" t="s">
        <v>635</v>
      </c>
      <c r="I870">
        <v>37</v>
      </c>
      <c r="K870">
        <v>37</v>
      </c>
      <c r="L870">
        <v>40</v>
      </c>
    </row>
    <row r="871" spans="3:17">
      <c r="C871" t="s">
        <v>640</v>
      </c>
      <c r="D871" t="s">
        <v>636</v>
      </c>
      <c r="I871">
        <v>5.9999999999999995E-4</v>
      </c>
      <c r="K871">
        <v>5.9999999999999995E-4</v>
      </c>
      <c r="L871">
        <v>5.9999999999999995E-4</v>
      </c>
    </row>
    <row r="872" spans="3:17">
      <c r="C872" t="s">
        <v>640</v>
      </c>
      <c r="D872" t="s">
        <v>638</v>
      </c>
      <c r="I872">
        <v>1E-3</v>
      </c>
      <c r="K872">
        <v>1E-3</v>
      </c>
      <c r="L872">
        <v>1E-3</v>
      </c>
      <c r="O872">
        <v>40</v>
      </c>
      <c r="P872">
        <v>5.9999999999999995E-4</v>
      </c>
      <c r="Q872">
        <v>1E-3</v>
      </c>
    </row>
    <row r="873" spans="3:17">
      <c r="C873" t="s">
        <v>641</v>
      </c>
      <c r="D873" s="208" t="s">
        <v>639</v>
      </c>
      <c r="E873" s="208"/>
      <c r="F873" s="208"/>
      <c r="G873" s="208"/>
      <c r="H873" s="208"/>
      <c r="I873" s="208">
        <v>37</v>
      </c>
      <c r="J873" s="208"/>
      <c r="K873" s="208">
        <v>37</v>
      </c>
      <c r="L873" s="208">
        <v>40</v>
      </c>
      <c r="O873">
        <v>0.04</v>
      </c>
      <c r="P873">
        <v>5.9999999999999997E-7</v>
      </c>
      <c r="Q873">
        <v>9.9999999999999995E-7</v>
      </c>
    </row>
    <row r="874" spans="3:17">
      <c r="C874" t="s">
        <v>642</v>
      </c>
      <c r="D874" t="s">
        <v>635</v>
      </c>
      <c r="I874">
        <v>25</v>
      </c>
      <c r="K874">
        <v>7</v>
      </c>
      <c r="L874">
        <v>14</v>
      </c>
    </row>
    <row r="875" spans="3:17">
      <c r="C875" t="s">
        <v>642</v>
      </c>
      <c r="D875" t="s">
        <v>636</v>
      </c>
      <c r="I875">
        <v>5.0000000000000001E-4</v>
      </c>
      <c r="K875">
        <v>2.0000000000000001E-4</v>
      </c>
      <c r="L875">
        <v>5.0000000000000001E-4</v>
      </c>
    </row>
    <row r="876" spans="3:17">
      <c r="C876" t="s">
        <v>642</v>
      </c>
      <c r="D876" t="s">
        <v>638</v>
      </c>
      <c r="I876">
        <v>5.0000000000000001E-4</v>
      </c>
      <c r="K876">
        <v>1E-4</v>
      </c>
      <c r="L876">
        <v>2.0000000000000001E-4</v>
      </c>
      <c r="O876">
        <v>14</v>
      </c>
      <c r="P876">
        <v>5.0000000000000001E-4</v>
      </c>
      <c r="Q876">
        <v>2.0000000000000001E-4</v>
      </c>
    </row>
    <row r="877" spans="3:17">
      <c r="C877" t="s">
        <v>643</v>
      </c>
      <c r="D877" s="208" t="s">
        <v>639</v>
      </c>
      <c r="E877" s="208"/>
      <c r="F877" s="208"/>
      <c r="G877" s="208"/>
      <c r="H877" s="208"/>
      <c r="I877" s="208">
        <v>25</v>
      </c>
      <c r="J877" s="208"/>
      <c r="K877" s="208">
        <v>7</v>
      </c>
      <c r="L877" s="208">
        <v>14</v>
      </c>
      <c r="O877">
        <v>1.4E-2</v>
      </c>
      <c r="P877">
        <v>4.9999999999999998E-7</v>
      </c>
      <c r="Q877">
        <v>2.0000000000000002E-7</v>
      </c>
    </row>
    <row r="878" spans="3:17">
      <c r="C878" t="s">
        <v>644</v>
      </c>
      <c r="D878" t="s">
        <v>635</v>
      </c>
      <c r="I878">
        <v>670</v>
      </c>
      <c r="K878">
        <v>700</v>
      </c>
      <c r="L878">
        <v>670</v>
      </c>
    </row>
    <row r="879" spans="3:17">
      <c r="C879" t="s">
        <v>644</v>
      </c>
      <c r="D879" t="s">
        <v>636</v>
      </c>
      <c r="I879">
        <v>0.02</v>
      </c>
      <c r="K879">
        <v>0.03</v>
      </c>
      <c r="L879">
        <v>0.03</v>
      </c>
    </row>
    <row r="880" spans="3:17">
      <c r="C880" t="s">
        <v>644</v>
      </c>
      <c r="D880" t="s">
        <v>638</v>
      </c>
      <c r="I880">
        <v>0.01</v>
      </c>
      <c r="K880">
        <v>0.01</v>
      </c>
      <c r="L880">
        <v>0.01</v>
      </c>
      <c r="O880">
        <v>670</v>
      </c>
      <c r="P880">
        <v>0.03</v>
      </c>
      <c r="Q880">
        <v>0.01</v>
      </c>
    </row>
    <row r="881" spans="3:17">
      <c r="C881" t="s">
        <v>645</v>
      </c>
      <c r="D881" s="208" t="s">
        <v>639</v>
      </c>
      <c r="E881" s="208"/>
      <c r="F881" s="208"/>
      <c r="G881" s="208"/>
      <c r="H881" s="208"/>
      <c r="I881" s="208">
        <v>680</v>
      </c>
      <c r="J881" s="208"/>
      <c r="K881" s="208">
        <v>670</v>
      </c>
      <c r="L881" s="208">
        <v>670</v>
      </c>
      <c r="O881">
        <v>0.67</v>
      </c>
      <c r="P881">
        <v>2.9999999999999997E-5</v>
      </c>
      <c r="Q881">
        <v>1.0000000000000001E-5</v>
      </c>
    </row>
    <row r="882" spans="3:17">
      <c r="C882" t="s">
        <v>646</v>
      </c>
      <c r="D882" t="s">
        <v>635</v>
      </c>
      <c r="I882">
        <v>330</v>
      </c>
      <c r="K882">
        <v>320</v>
      </c>
      <c r="L882">
        <v>310</v>
      </c>
    </row>
    <row r="883" spans="3:17">
      <c r="C883" t="s">
        <v>646</v>
      </c>
      <c r="D883" t="s">
        <v>636</v>
      </c>
      <c r="I883">
        <v>0.02</v>
      </c>
      <c r="K883">
        <v>0.02</v>
      </c>
      <c r="L883">
        <v>0.02</v>
      </c>
    </row>
    <row r="884" spans="3:17">
      <c r="C884" t="s">
        <v>646</v>
      </c>
      <c r="D884" t="s">
        <v>638</v>
      </c>
      <c r="I884">
        <v>5.0000000000000001E-3</v>
      </c>
      <c r="K884">
        <v>5.0000000000000001E-3</v>
      </c>
      <c r="L884">
        <v>4.0000000000000001E-3</v>
      </c>
      <c r="O884">
        <v>310</v>
      </c>
      <c r="P884">
        <v>0.02</v>
      </c>
      <c r="Q884">
        <v>4.0000000000000001E-3</v>
      </c>
    </row>
    <row r="885" spans="3:17">
      <c r="C885" t="s">
        <v>647</v>
      </c>
      <c r="D885" s="208" t="s">
        <v>639</v>
      </c>
      <c r="E885" s="208"/>
      <c r="F885" s="208"/>
      <c r="G885" s="208"/>
      <c r="H885" s="208"/>
      <c r="I885" s="208">
        <v>340</v>
      </c>
      <c r="J885" s="208"/>
      <c r="K885" s="208">
        <v>320</v>
      </c>
      <c r="L885" s="208">
        <v>310</v>
      </c>
      <c r="O885">
        <v>0.31</v>
      </c>
      <c r="P885">
        <v>2.0000000000000002E-5</v>
      </c>
      <c r="Q885">
        <v>3.9999999999999998E-6</v>
      </c>
    </row>
    <row r="886" spans="3:17">
      <c r="C886" t="s">
        <v>648</v>
      </c>
      <c r="D886" t="s">
        <v>635</v>
      </c>
      <c r="I886">
        <v>1.2</v>
      </c>
      <c r="K886">
        <v>1.2</v>
      </c>
      <c r="L886">
        <v>1.2</v>
      </c>
    </row>
    <row r="887" spans="3:17">
      <c r="C887" t="s">
        <v>648</v>
      </c>
      <c r="D887" t="s">
        <v>636</v>
      </c>
      <c r="I887">
        <v>0</v>
      </c>
      <c r="K887">
        <v>0</v>
      </c>
      <c r="L887">
        <v>0</v>
      </c>
    </row>
    <row r="888" spans="3:17">
      <c r="C888" t="s">
        <v>648</v>
      </c>
      <c r="D888" t="s">
        <v>638</v>
      </c>
      <c r="I888">
        <v>1E-4</v>
      </c>
      <c r="K888">
        <v>1E-4</v>
      </c>
      <c r="L888">
        <v>1E-4</v>
      </c>
      <c r="O888">
        <v>1.2</v>
      </c>
      <c r="P888">
        <v>0</v>
      </c>
      <c r="Q888">
        <v>1E-4</v>
      </c>
    </row>
    <row r="889" spans="3:17">
      <c r="C889" t="s">
        <v>649</v>
      </c>
      <c r="D889" s="208" t="s">
        <v>639</v>
      </c>
      <c r="E889" s="208"/>
      <c r="F889" s="208"/>
      <c r="G889" s="208"/>
      <c r="H889" s="208"/>
      <c r="I889" s="208">
        <v>1.3</v>
      </c>
      <c r="J889" s="208"/>
      <c r="K889" s="208">
        <v>1.3</v>
      </c>
      <c r="L889" s="208">
        <v>1.3</v>
      </c>
      <c r="O889">
        <v>1.1999999999999999E-3</v>
      </c>
      <c r="P889">
        <v>0</v>
      </c>
      <c r="Q889">
        <v>1.0000000000000001E-7</v>
      </c>
    </row>
    <row r="890" spans="3:17">
      <c r="C890" t="s">
        <v>650</v>
      </c>
      <c r="D890" t="s">
        <v>635</v>
      </c>
      <c r="I890">
        <v>35</v>
      </c>
      <c r="K890">
        <v>36</v>
      </c>
      <c r="L890">
        <v>17</v>
      </c>
    </row>
    <row r="891" spans="3:17">
      <c r="C891" t="s">
        <v>650</v>
      </c>
      <c r="D891" t="s">
        <v>636</v>
      </c>
      <c r="I891">
        <v>0.01</v>
      </c>
      <c r="K891">
        <v>0.01</v>
      </c>
      <c r="L891">
        <v>0</v>
      </c>
    </row>
    <row r="892" spans="3:17">
      <c r="C892" t="s">
        <v>650</v>
      </c>
      <c r="D892" t="s">
        <v>638</v>
      </c>
      <c r="I892">
        <v>1E-3</v>
      </c>
      <c r="K892">
        <v>1E-3</v>
      </c>
      <c r="L892">
        <v>1E-3</v>
      </c>
      <c r="O892">
        <v>17</v>
      </c>
      <c r="P892">
        <v>0</v>
      </c>
      <c r="Q892">
        <v>1E-3</v>
      </c>
    </row>
    <row r="893" spans="3:17">
      <c r="C893" t="s">
        <v>66</v>
      </c>
      <c r="D893" s="208" t="s">
        <v>639</v>
      </c>
      <c r="E893" s="208"/>
      <c r="F893" s="208"/>
      <c r="G893" s="208"/>
      <c r="H893" s="208"/>
      <c r="I893" s="208">
        <v>36</v>
      </c>
      <c r="J893" s="208"/>
      <c r="K893" s="208">
        <v>37</v>
      </c>
      <c r="L893" s="208">
        <v>17</v>
      </c>
      <c r="O893">
        <v>1.7000000000000001E-2</v>
      </c>
      <c r="P893">
        <v>0</v>
      </c>
      <c r="Q893">
        <v>9.9999999999999995E-7</v>
      </c>
    </row>
    <row r="894" spans="3:17">
      <c r="C894" t="s">
        <v>651</v>
      </c>
      <c r="D894" t="s">
        <v>635</v>
      </c>
      <c r="I894">
        <v>1.9</v>
      </c>
      <c r="K894">
        <v>1.9</v>
      </c>
      <c r="L894">
        <v>1.9</v>
      </c>
    </row>
    <row r="895" spans="3:17">
      <c r="C895" t="s">
        <v>651</v>
      </c>
      <c r="D895" t="s">
        <v>636</v>
      </c>
      <c r="I895">
        <v>1E-4</v>
      </c>
      <c r="K895">
        <v>1E-4</v>
      </c>
      <c r="L895">
        <v>1E-4</v>
      </c>
    </row>
    <row r="896" spans="3:17">
      <c r="C896" t="s">
        <v>651</v>
      </c>
      <c r="D896" t="s">
        <v>638</v>
      </c>
      <c r="I896">
        <v>1E-4</v>
      </c>
      <c r="K896">
        <v>1E-4</v>
      </c>
      <c r="L896">
        <v>1E-4</v>
      </c>
      <c r="O896">
        <v>1.9</v>
      </c>
      <c r="P896">
        <v>1E-4</v>
      </c>
      <c r="Q896">
        <v>1E-4</v>
      </c>
    </row>
    <row r="897" spans="3:17">
      <c r="C897" t="s">
        <v>652</v>
      </c>
      <c r="D897" s="208" t="s">
        <v>639</v>
      </c>
      <c r="E897" s="208"/>
      <c r="F897" s="208"/>
      <c r="G897" s="208"/>
      <c r="H897" s="208"/>
      <c r="I897" s="208">
        <v>1.9</v>
      </c>
      <c r="J897" s="208"/>
      <c r="K897" s="208">
        <v>1.9</v>
      </c>
      <c r="L897" s="208">
        <v>1.9</v>
      </c>
      <c r="O897">
        <v>1.9E-3</v>
      </c>
      <c r="P897">
        <v>1.0000000000000001E-7</v>
      </c>
      <c r="Q897">
        <v>1.0000000000000001E-7</v>
      </c>
    </row>
    <row r="898" spans="3:17">
      <c r="C898" t="s">
        <v>653</v>
      </c>
      <c r="D898" t="s">
        <v>635</v>
      </c>
      <c r="I898">
        <v>650</v>
      </c>
      <c r="K898">
        <v>650</v>
      </c>
      <c r="L898">
        <v>650</v>
      </c>
    </row>
    <row r="899" spans="3:17">
      <c r="C899" t="s">
        <v>653</v>
      </c>
      <c r="D899" t="s">
        <v>636</v>
      </c>
      <c r="I899">
        <v>0.05</v>
      </c>
      <c r="K899">
        <v>0.05</v>
      </c>
      <c r="L899">
        <v>0.05</v>
      </c>
    </row>
    <row r="900" spans="3:17">
      <c r="C900" t="s">
        <v>653</v>
      </c>
      <c r="D900" t="s">
        <v>638</v>
      </c>
      <c r="I900">
        <v>0.02</v>
      </c>
      <c r="K900">
        <v>0.02</v>
      </c>
      <c r="L900">
        <v>0.02</v>
      </c>
      <c r="O900">
        <v>650</v>
      </c>
      <c r="P900">
        <v>0.05</v>
      </c>
      <c r="Q900">
        <v>0.02</v>
      </c>
    </row>
    <row r="901" spans="3:17">
      <c r="C901" t="s">
        <v>654</v>
      </c>
      <c r="D901" s="208" t="s">
        <v>639</v>
      </c>
      <c r="E901" s="208"/>
      <c r="F901" s="208"/>
      <c r="G901" s="208"/>
      <c r="H901" s="208"/>
      <c r="I901" s="208">
        <v>660</v>
      </c>
      <c r="J901" s="208"/>
      <c r="K901" s="208">
        <v>660</v>
      </c>
      <c r="L901" s="208">
        <v>660</v>
      </c>
      <c r="O901">
        <v>0.65</v>
      </c>
      <c r="P901">
        <v>5.0000000000000002E-5</v>
      </c>
      <c r="Q901">
        <v>2.0000000000000002E-5</v>
      </c>
    </row>
    <row r="902" spans="3:17">
      <c r="C902" t="s">
        <v>655</v>
      </c>
      <c r="D902" t="s">
        <v>635</v>
      </c>
      <c r="I902">
        <v>760</v>
      </c>
      <c r="K902">
        <v>740</v>
      </c>
      <c r="L902">
        <v>750</v>
      </c>
    </row>
    <row r="903" spans="3:17">
      <c r="C903" t="s">
        <v>655</v>
      </c>
      <c r="D903" t="s">
        <v>636</v>
      </c>
      <c r="I903">
        <v>0.04</v>
      </c>
      <c r="K903">
        <v>0.04</v>
      </c>
      <c r="L903">
        <v>0.04</v>
      </c>
    </row>
    <row r="904" spans="3:17">
      <c r="C904" t="s">
        <v>655</v>
      </c>
      <c r="D904" t="s">
        <v>638</v>
      </c>
      <c r="I904">
        <v>0.01</v>
      </c>
      <c r="K904">
        <v>0.01</v>
      </c>
      <c r="L904">
        <v>0.01</v>
      </c>
      <c r="O904">
        <v>750</v>
      </c>
      <c r="P904">
        <v>0.04</v>
      </c>
      <c r="Q904">
        <v>0.01</v>
      </c>
    </row>
    <row r="905" spans="3:17">
      <c r="C905" t="s">
        <v>656</v>
      </c>
      <c r="D905" s="208" t="s">
        <v>639</v>
      </c>
      <c r="E905" s="208"/>
      <c r="F905" s="208"/>
      <c r="G905" s="208"/>
      <c r="H905" s="208"/>
      <c r="I905" s="208">
        <v>760</v>
      </c>
      <c r="J905" s="208"/>
      <c r="K905" s="208">
        <v>750</v>
      </c>
      <c r="L905" s="208">
        <v>750</v>
      </c>
      <c r="O905">
        <v>0.75</v>
      </c>
      <c r="P905">
        <v>4.0000000000000003E-5</v>
      </c>
      <c r="Q905">
        <v>1.0000000000000001E-5</v>
      </c>
    </row>
    <row r="906" spans="3:17">
      <c r="C906" t="s">
        <v>657</v>
      </c>
      <c r="D906" t="s">
        <v>635</v>
      </c>
      <c r="I906">
        <v>10.8</v>
      </c>
      <c r="K906">
        <v>11.2</v>
      </c>
      <c r="L906">
        <v>9</v>
      </c>
    </row>
    <row r="907" spans="3:17">
      <c r="C907" t="s">
        <v>657</v>
      </c>
      <c r="D907" t="s">
        <v>636</v>
      </c>
      <c r="I907">
        <v>3.0000000000000001E-3</v>
      </c>
      <c r="K907">
        <v>3.0000000000000001E-3</v>
      </c>
      <c r="L907">
        <v>3.0000000000000001E-3</v>
      </c>
    </row>
    <row r="908" spans="3:17">
      <c r="C908" t="s">
        <v>657</v>
      </c>
      <c r="D908" t="s">
        <v>638</v>
      </c>
      <c r="I908">
        <v>8.0000000000000004E-4</v>
      </c>
      <c r="K908">
        <v>8.0000000000000004E-4</v>
      </c>
      <c r="L908">
        <v>6.9999999999999999E-4</v>
      </c>
      <c r="O908">
        <v>9</v>
      </c>
      <c r="P908">
        <v>3.0000000000000001E-3</v>
      </c>
      <c r="Q908">
        <v>6.9999999999999999E-4</v>
      </c>
    </row>
    <row r="909" spans="3:17">
      <c r="C909" t="s">
        <v>658</v>
      </c>
      <c r="D909" s="208" t="s">
        <v>639</v>
      </c>
      <c r="E909" s="208"/>
      <c r="F909" s="208"/>
      <c r="G909" s="208"/>
      <c r="H909" s="208"/>
      <c r="I909" s="208">
        <v>11.1</v>
      </c>
      <c r="J909" s="208"/>
      <c r="K909" s="208">
        <v>11</v>
      </c>
      <c r="L909" s="208">
        <v>9.3000000000000007</v>
      </c>
      <c r="O909">
        <v>8.9999999999999993E-3</v>
      </c>
      <c r="P909">
        <v>3.0000000000000001E-6</v>
      </c>
      <c r="Q909">
        <v>6.9999999999999997E-7</v>
      </c>
    </row>
    <row r="910" spans="3:17">
      <c r="C910" t="s">
        <v>659</v>
      </c>
      <c r="D910" t="s">
        <v>635</v>
      </c>
      <c r="I910">
        <v>43</v>
      </c>
      <c r="K910">
        <v>43</v>
      </c>
      <c r="L910">
        <v>48</v>
      </c>
    </row>
    <row r="911" spans="3:17">
      <c r="C911" t="s">
        <v>659</v>
      </c>
      <c r="D911" t="s">
        <v>636</v>
      </c>
      <c r="I911">
        <v>3.0000000000000001E-3</v>
      </c>
      <c r="K911">
        <v>3.0000000000000001E-3</v>
      </c>
      <c r="L911">
        <v>4.0000000000000001E-3</v>
      </c>
    </row>
    <row r="912" spans="3:17">
      <c r="C912" t="s">
        <v>659</v>
      </c>
      <c r="D912" t="s">
        <v>638</v>
      </c>
      <c r="I912">
        <v>0.01</v>
      </c>
      <c r="K912">
        <v>0.01</v>
      </c>
      <c r="L912">
        <v>0.01</v>
      </c>
      <c r="O912">
        <v>48</v>
      </c>
      <c r="P912">
        <v>4.0000000000000001E-3</v>
      </c>
      <c r="Q912">
        <v>0.01</v>
      </c>
    </row>
    <row r="913" spans="3:17">
      <c r="C913" t="s">
        <v>660</v>
      </c>
      <c r="D913" s="208" t="s">
        <v>639</v>
      </c>
      <c r="E913" s="208"/>
      <c r="F913" s="208"/>
      <c r="G913" s="208"/>
      <c r="H913" s="208"/>
      <c r="I913" s="208">
        <v>45</v>
      </c>
      <c r="J913" s="208"/>
      <c r="K913" s="208">
        <v>45</v>
      </c>
      <c r="L913" s="208">
        <v>50</v>
      </c>
      <c r="O913">
        <v>4.8000000000000001E-2</v>
      </c>
      <c r="P913">
        <v>3.9999999999999998E-6</v>
      </c>
      <c r="Q913">
        <v>1.0000000000000001E-5</v>
      </c>
    </row>
    <row r="914" spans="3:17">
      <c r="C914" t="s">
        <v>661</v>
      </c>
      <c r="D914" t="s">
        <v>635</v>
      </c>
      <c r="I914">
        <v>190</v>
      </c>
      <c r="K914">
        <v>190</v>
      </c>
      <c r="L914">
        <v>170</v>
      </c>
    </row>
    <row r="915" spans="3:17">
      <c r="C915" t="s">
        <v>661</v>
      </c>
      <c r="D915" t="s">
        <v>636</v>
      </c>
      <c r="I915">
        <v>0.01</v>
      </c>
      <c r="K915">
        <v>0.01</v>
      </c>
      <c r="L915">
        <v>0.01</v>
      </c>
    </row>
    <row r="916" spans="3:17">
      <c r="C916" t="s">
        <v>661</v>
      </c>
      <c r="D916" t="s">
        <v>638</v>
      </c>
      <c r="I916">
        <v>0.03</v>
      </c>
      <c r="K916">
        <v>0.03</v>
      </c>
      <c r="L916">
        <v>0.02</v>
      </c>
      <c r="O916">
        <v>170</v>
      </c>
      <c r="P916">
        <v>0.01</v>
      </c>
      <c r="Q916">
        <v>0.02</v>
      </c>
    </row>
    <row r="917" spans="3:17">
      <c r="C917" t="s">
        <v>662</v>
      </c>
      <c r="D917" s="208" t="s">
        <v>639</v>
      </c>
      <c r="E917" s="208"/>
      <c r="F917" s="208"/>
      <c r="G917" s="208"/>
      <c r="H917" s="208"/>
      <c r="I917" s="208">
        <v>200</v>
      </c>
      <c r="J917" s="208"/>
      <c r="K917" s="208">
        <v>200</v>
      </c>
      <c r="L917" s="208">
        <v>180</v>
      </c>
      <c r="O917">
        <v>0.17</v>
      </c>
      <c r="P917">
        <v>1.0000000000000001E-5</v>
      </c>
      <c r="Q917">
        <v>2.0000000000000002E-5</v>
      </c>
    </row>
    <row r="920" spans="3:17">
      <c r="C920" t="s">
        <v>663</v>
      </c>
      <c r="O920">
        <v>0.96799999999999997</v>
      </c>
      <c r="P920">
        <v>0</v>
      </c>
      <c r="Q920">
        <v>0</v>
      </c>
    </row>
    <row r="921" spans="3:17">
      <c r="C921" t="s">
        <v>664</v>
      </c>
      <c r="O921">
        <v>1.1082000000000001</v>
      </c>
      <c r="P921">
        <v>0</v>
      </c>
      <c r="Q921">
        <v>0</v>
      </c>
    </row>
    <row r="922" spans="3:17">
      <c r="C922" t="s">
        <v>665</v>
      </c>
      <c r="O922">
        <v>0.80459999999999998</v>
      </c>
      <c r="P922">
        <v>0</v>
      </c>
      <c r="Q922">
        <v>0</v>
      </c>
    </row>
    <row r="923" spans="3:17">
      <c r="C923" t="s">
        <v>666</v>
      </c>
      <c r="O923">
        <v>0.90139999999999998</v>
      </c>
      <c r="P923">
        <v>0</v>
      </c>
      <c r="Q923">
        <v>0</v>
      </c>
    </row>
    <row r="924" spans="3:17">
      <c r="C924" t="s">
        <v>667</v>
      </c>
      <c r="O924">
        <v>0.91549999999999998</v>
      </c>
      <c r="P924">
        <v>0</v>
      </c>
      <c r="Q924">
        <v>0</v>
      </c>
    </row>
    <row r="925" spans="3:17">
      <c r="C925" t="s">
        <v>668</v>
      </c>
      <c r="O925">
        <v>0.8367</v>
      </c>
      <c r="P925">
        <v>0</v>
      </c>
      <c r="Q925">
        <v>0</v>
      </c>
    </row>
    <row r="926" spans="3:17">
      <c r="C926" t="s">
        <v>669</v>
      </c>
      <c r="O926">
        <v>0</v>
      </c>
      <c r="P926">
        <v>0</v>
      </c>
      <c r="Q926">
        <v>0</v>
      </c>
    </row>
    <row r="931" spans="3:14" ht="15.75">
      <c r="C931" s="218" t="s">
        <v>822</v>
      </c>
      <c r="D931" s="219" t="s">
        <v>823</v>
      </c>
      <c r="E931" s="220"/>
      <c r="F931" s="220"/>
      <c r="G931" s="220"/>
      <c r="H931" s="220"/>
      <c r="I931" s="220"/>
      <c r="J931" s="220"/>
      <c r="K931" s="220"/>
      <c r="L931" s="220"/>
      <c r="M931" s="221"/>
      <c r="N931" s="2"/>
    </row>
    <row r="932" spans="3:14" ht="15.75" thickBot="1">
      <c r="C932" s="2"/>
      <c r="D932" s="2"/>
      <c r="E932" s="2"/>
      <c r="F932" s="2"/>
      <c r="G932" s="2"/>
      <c r="H932" s="2"/>
      <c r="I932" s="2"/>
      <c r="J932" s="2"/>
      <c r="K932" s="2"/>
      <c r="L932" s="2"/>
      <c r="M932" s="2"/>
      <c r="N932" s="2"/>
    </row>
    <row r="933" spans="3:14" ht="39" thickBot="1">
      <c r="C933" s="2"/>
      <c r="D933" s="222" t="s">
        <v>824</v>
      </c>
      <c r="E933" s="223" t="s">
        <v>825</v>
      </c>
      <c r="F933" s="224"/>
      <c r="G933" s="2"/>
      <c r="H933" s="2"/>
      <c r="I933" s="2"/>
      <c r="J933" s="2"/>
      <c r="K933" s="2"/>
      <c r="L933" s="2"/>
      <c r="M933" s="2"/>
      <c r="N933" s="2"/>
    </row>
    <row r="934" spans="3:14" ht="15.75">
      <c r="C934" s="2"/>
      <c r="D934" s="225" t="s">
        <v>826</v>
      </c>
      <c r="E934" s="226">
        <v>1</v>
      </c>
      <c r="F934" s="2"/>
      <c r="G934" s="2"/>
      <c r="H934" s="2"/>
      <c r="I934" s="2"/>
      <c r="J934" s="2"/>
      <c r="K934" s="2"/>
      <c r="L934" s="2"/>
      <c r="M934" s="2"/>
      <c r="N934" s="2"/>
    </row>
    <row r="935" spans="3:14" ht="15.75">
      <c r="C935" s="2"/>
      <c r="D935" s="138" t="s">
        <v>827</v>
      </c>
      <c r="E935" s="227">
        <v>25</v>
      </c>
      <c r="F935" s="2"/>
      <c r="G935" s="2"/>
      <c r="H935" s="2"/>
      <c r="I935" s="2"/>
      <c r="J935" s="2"/>
      <c r="K935" s="2"/>
      <c r="L935" s="2"/>
      <c r="M935" s="2"/>
      <c r="N935" s="2"/>
    </row>
    <row r="936" spans="3:14" ht="15.75">
      <c r="C936" s="2"/>
      <c r="D936" s="138" t="s">
        <v>828</v>
      </c>
      <c r="E936" s="227">
        <v>298</v>
      </c>
      <c r="F936" s="106"/>
      <c r="G936" s="2"/>
      <c r="H936" s="2"/>
      <c r="I936" s="2"/>
      <c r="J936" s="2"/>
      <c r="K936" s="2"/>
      <c r="L936" s="2"/>
      <c r="M936" s="2"/>
      <c r="N936" s="2"/>
    </row>
    <row r="937" spans="3:14">
      <c r="C937" s="2"/>
      <c r="D937" s="138" t="s">
        <v>829</v>
      </c>
      <c r="E937" s="227">
        <v>14800</v>
      </c>
      <c r="F937" s="2"/>
      <c r="G937" s="2"/>
      <c r="H937" s="2"/>
      <c r="I937" s="2"/>
      <c r="J937" s="2"/>
      <c r="K937" s="2"/>
      <c r="L937" s="2"/>
      <c r="M937" s="2"/>
      <c r="N937" s="2"/>
    </row>
    <row r="938" spans="3:14">
      <c r="C938" s="2"/>
      <c r="D938" s="138" t="s">
        <v>830</v>
      </c>
      <c r="E938" s="227">
        <v>675</v>
      </c>
      <c r="F938" s="2"/>
      <c r="G938" s="2"/>
      <c r="H938" s="2"/>
      <c r="I938" s="2"/>
      <c r="J938" s="2"/>
      <c r="K938" s="2"/>
      <c r="L938" s="2"/>
      <c r="M938" s="2"/>
      <c r="N938" s="2"/>
    </row>
    <row r="939" spans="3:14">
      <c r="C939" s="2"/>
      <c r="D939" s="138" t="s">
        <v>831</v>
      </c>
      <c r="E939" s="227">
        <v>92</v>
      </c>
      <c r="F939" s="2"/>
      <c r="G939" s="2"/>
      <c r="H939" s="2"/>
      <c r="I939" s="2"/>
      <c r="J939" s="2"/>
      <c r="K939" s="2"/>
      <c r="L939" s="2"/>
      <c r="M939" s="2"/>
      <c r="N939" s="2"/>
    </row>
    <row r="940" spans="3:14">
      <c r="C940" s="2"/>
      <c r="D940" s="138" t="s">
        <v>832</v>
      </c>
      <c r="E940" s="227">
        <v>3500</v>
      </c>
      <c r="F940" s="2"/>
      <c r="G940" s="2"/>
      <c r="H940" s="904"/>
      <c r="I940" s="904"/>
      <c r="J940" s="904"/>
      <c r="K940" s="904"/>
      <c r="L940" s="904"/>
      <c r="M940" s="904"/>
      <c r="N940" s="904"/>
    </row>
    <row r="941" spans="3:14">
      <c r="C941" s="2"/>
      <c r="D941" s="138" t="s">
        <v>833</v>
      </c>
      <c r="E941" s="227">
        <v>1100</v>
      </c>
      <c r="F941" s="2"/>
      <c r="G941" s="2"/>
      <c r="H941" s="904"/>
      <c r="I941" s="904"/>
      <c r="J941" s="904"/>
      <c r="K941" s="904"/>
      <c r="L941" s="904"/>
      <c r="M941" s="904"/>
      <c r="N941" s="904"/>
    </row>
    <row r="942" spans="3:14">
      <c r="C942" s="2"/>
      <c r="D942" s="138" t="s">
        <v>834</v>
      </c>
      <c r="E942" s="227">
        <v>1430</v>
      </c>
      <c r="F942" s="2"/>
      <c r="G942" s="2"/>
      <c r="H942" s="2"/>
      <c r="I942" s="2"/>
      <c r="J942" s="2"/>
      <c r="K942" s="2"/>
      <c r="L942" s="2"/>
      <c r="M942" s="2"/>
      <c r="N942" s="2"/>
    </row>
    <row r="943" spans="3:14">
      <c r="C943" s="2"/>
      <c r="D943" s="138" t="s">
        <v>835</v>
      </c>
      <c r="E943" s="227">
        <v>353</v>
      </c>
      <c r="F943" s="2"/>
      <c r="G943" s="2"/>
      <c r="H943" s="2"/>
      <c r="I943" s="2"/>
      <c r="J943" s="2"/>
      <c r="K943" s="2"/>
      <c r="L943" s="2"/>
      <c r="M943" s="2"/>
      <c r="N943" s="2"/>
    </row>
    <row r="944" spans="3:14">
      <c r="C944" s="2"/>
      <c r="D944" s="15" t="s">
        <v>836</v>
      </c>
      <c r="E944" s="227">
        <v>4470</v>
      </c>
      <c r="F944" s="2"/>
      <c r="G944" s="2"/>
      <c r="H944" s="2"/>
      <c r="I944" s="2"/>
      <c r="J944" s="2"/>
      <c r="K944" s="2"/>
      <c r="L944" s="2"/>
      <c r="M944" s="2"/>
      <c r="N944" s="2"/>
    </row>
    <row r="945" spans="3:14">
      <c r="C945" s="2"/>
      <c r="D945" s="138" t="s">
        <v>837</v>
      </c>
      <c r="E945" s="227">
        <v>53</v>
      </c>
      <c r="F945" s="2"/>
      <c r="G945" s="2"/>
      <c r="H945" s="2"/>
      <c r="I945" s="2"/>
      <c r="J945" s="2"/>
      <c r="K945" s="2"/>
      <c r="L945" s="2"/>
      <c r="M945" s="2"/>
      <c r="N945" s="2"/>
    </row>
    <row r="946" spans="3:14">
      <c r="C946" s="2"/>
      <c r="D946" s="138" t="s">
        <v>838</v>
      </c>
      <c r="E946" s="227">
        <v>124</v>
      </c>
      <c r="F946" s="2"/>
      <c r="G946" s="2"/>
      <c r="H946" s="2"/>
      <c r="I946" s="2"/>
      <c r="J946" s="2"/>
      <c r="K946" s="2"/>
      <c r="L946" s="2"/>
      <c r="M946" s="2"/>
      <c r="N946" s="2"/>
    </row>
    <row r="947" spans="3:14">
      <c r="C947" s="2"/>
      <c r="D947" s="138" t="s">
        <v>839</v>
      </c>
      <c r="E947" s="227">
        <v>12</v>
      </c>
      <c r="F947" s="2"/>
      <c r="G947" s="2"/>
      <c r="H947" s="2"/>
      <c r="I947" s="2"/>
      <c r="J947" s="2"/>
      <c r="K947" s="2"/>
      <c r="L947" s="2"/>
      <c r="M947" s="2"/>
      <c r="N947" s="2"/>
    </row>
    <row r="948" spans="3:14">
      <c r="C948" s="2"/>
      <c r="D948" s="138" t="s">
        <v>840</v>
      </c>
      <c r="E948" s="227">
        <v>3220</v>
      </c>
      <c r="F948" s="2"/>
      <c r="G948" s="2"/>
      <c r="H948" s="904"/>
      <c r="I948" s="904"/>
      <c r="J948" s="904"/>
      <c r="K948" s="904"/>
      <c r="L948" s="904"/>
      <c r="M948" s="904"/>
      <c r="N948" s="904"/>
    </row>
    <row r="949" spans="3:14">
      <c r="C949" s="2"/>
      <c r="D949" s="138" t="s">
        <v>841</v>
      </c>
      <c r="E949" s="227">
        <v>1340</v>
      </c>
      <c r="F949" s="2"/>
      <c r="G949" s="2"/>
      <c r="H949" s="904"/>
      <c r="I949" s="904"/>
      <c r="J949" s="904"/>
      <c r="K949" s="904"/>
      <c r="L949" s="904"/>
      <c r="M949" s="904"/>
      <c r="N949" s="904"/>
    </row>
    <row r="950" spans="3:14">
      <c r="C950" s="2"/>
      <c r="D950" s="138" t="s">
        <v>842</v>
      </c>
      <c r="E950" s="227">
        <v>1370</v>
      </c>
      <c r="F950" s="2"/>
      <c r="G950" s="2"/>
      <c r="H950" s="2"/>
      <c r="I950" s="2"/>
      <c r="J950" s="2"/>
      <c r="K950" s="2"/>
      <c r="L950" s="2"/>
      <c r="M950" s="2"/>
      <c r="N950" s="2"/>
    </row>
    <row r="951" spans="3:14">
      <c r="C951" s="2"/>
      <c r="D951" s="138" t="s">
        <v>843</v>
      </c>
      <c r="E951" s="227">
        <v>9810</v>
      </c>
      <c r="F951" s="2"/>
      <c r="G951" s="2"/>
      <c r="H951" s="2"/>
      <c r="I951" s="2"/>
      <c r="J951" s="2"/>
      <c r="K951" s="2"/>
      <c r="L951" s="2"/>
      <c r="M951" s="2"/>
      <c r="N951" s="2"/>
    </row>
    <row r="952" spans="3:14">
      <c r="C952" s="2"/>
      <c r="D952" s="15" t="s">
        <v>844</v>
      </c>
      <c r="E952" s="227">
        <v>693</v>
      </c>
      <c r="F952" s="2"/>
      <c r="G952" s="2"/>
      <c r="H952" s="2"/>
      <c r="I952" s="2"/>
      <c r="J952" s="2"/>
      <c r="K952" s="2"/>
      <c r="L952" s="2"/>
      <c r="M952" s="2"/>
      <c r="N952" s="2"/>
    </row>
    <row r="953" spans="3:14">
      <c r="C953" s="2"/>
      <c r="D953" s="138" t="s">
        <v>845</v>
      </c>
      <c r="E953" s="227">
        <v>1030</v>
      </c>
      <c r="F953" s="2"/>
      <c r="G953" s="2"/>
      <c r="H953" s="2"/>
      <c r="I953" s="2"/>
      <c r="J953" s="2"/>
      <c r="K953" s="2"/>
      <c r="L953" s="2"/>
      <c r="M953" s="2"/>
      <c r="N953" s="2"/>
    </row>
    <row r="954" spans="3:14">
      <c r="C954" s="2"/>
      <c r="D954" s="138" t="s">
        <v>846</v>
      </c>
      <c r="E954" s="227">
        <v>794</v>
      </c>
      <c r="F954" s="2"/>
      <c r="G954" s="2"/>
      <c r="H954" s="2"/>
      <c r="I954" s="2"/>
      <c r="J954" s="2"/>
      <c r="K954" s="2"/>
      <c r="L954" s="2"/>
      <c r="M954" s="2"/>
      <c r="N954" s="2"/>
    </row>
    <row r="955" spans="3:14">
      <c r="C955" s="2"/>
      <c r="D955" s="15" t="s">
        <v>847</v>
      </c>
      <c r="E955" s="227">
        <v>1640</v>
      </c>
      <c r="F955" s="2"/>
      <c r="G955" s="2"/>
      <c r="H955" s="2"/>
      <c r="I955" s="2"/>
      <c r="J955" s="2"/>
      <c r="K955" s="2"/>
      <c r="L955" s="2"/>
      <c r="M955" s="2"/>
      <c r="N955" s="2"/>
    </row>
    <row r="956" spans="3:14" ht="15.75">
      <c r="C956" s="2"/>
      <c r="D956" s="138" t="s">
        <v>848</v>
      </c>
      <c r="E956" s="227">
        <v>22800</v>
      </c>
      <c r="F956" s="2"/>
      <c r="G956" s="2"/>
      <c r="H956" s="2"/>
      <c r="I956" s="2"/>
      <c r="J956" s="2"/>
      <c r="K956" s="2"/>
      <c r="L956" s="2"/>
      <c r="M956" s="2"/>
      <c r="N956" s="2"/>
    </row>
    <row r="957" spans="3:14" ht="15.75">
      <c r="C957" s="2"/>
      <c r="D957" s="138" t="s">
        <v>849</v>
      </c>
      <c r="E957" s="227">
        <v>17200</v>
      </c>
      <c r="F957" s="2"/>
      <c r="G957" s="2"/>
      <c r="H957" s="2"/>
      <c r="I957" s="2"/>
      <c r="J957" s="2"/>
      <c r="K957" s="2"/>
      <c r="L957" s="2"/>
      <c r="M957" s="2"/>
      <c r="N957" s="2"/>
    </row>
    <row r="958" spans="3:14" ht="15.75">
      <c r="C958" s="2"/>
      <c r="D958" s="15" t="s">
        <v>850</v>
      </c>
      <c r="E958" s="227">
        <v>7390</v>
      </c>
      <c r="F958" s="2"/>
      <c r="G958" s="2"/>
      <c r="H958" s="2"/>
      <c r="I958" s="2"/>
      <c r="J958" s="2"/>
      <c r="K958" s="2"/>
      <c r="L958" s="2"/>
      <c r="M958" s="2"/>
      <c r="N958" s="2"/>
    </row>
    <row r="959" spans="3:14" ht="15.75">
      <c r="C959" s="2"/>
      <c r="D959" s="15" t="s">
        <v>851</v>
      </c>
      <c r="E959" s="227">
        <v>12200</v>
      </c>
      <c r="F959" s="2"/>
      <c r="G959" s="2"/>
      <c r="H959" s="2"/>
      <c r="I959" s="2"/>
      <c r="J959" s="2"/>
      <c r="K959" s="2"/>
      <c r="L959" s="2"/>
      <c r="M959" s="2"/>
      <c r="N959" s="2"/>
    </row>
    <row r="960" spans="3:14" ht="15.75">
      <c r="C960" s="2"/>
      <c r="D960" s="15" t="s">
        <v>852</v>
      </c>
      <c r="E960" s="227">
        <v>8830</v>
      </c>
      <c r="F960" s="2"/>
      <c r="G960" s="2"/>
      <c r="H960" s="2"/>
      <c r="I960" s="2"/>
      <c r="J960" s="2"/>
      <c r="K960" s="2"/>
      <c r="L960" s="2"/>
      <c r="M960" s="2"/>
      <c r="N960" s="2"/>
    </row>
    <row r="961" spans="3:14" ht="15.75">
      <c r="C961" s="2"/>
      <c r="D961" s="15" t="s">
        <v>853</v>
      </c>
      <c r="E961" s="228">
        <v>10300</v>
      </c>
      <c r="F961" s="2"/>
      <c r="G961" s="2"/>
      <c r="H961" s="2"/>
      <c r="I961" s="2"/>
      <c r="J961" s="2"/>
      <c r="K961" s="2"/>
      <c r="L961" s="2"/>
      <c r="M961" s="2"/>
      <c r="N961" s="2"/>
    </row>
    <row r="962" spans="3:14" ht="15.75">
      <c r="C962" s="2"/>
      <c r="D962" s="15" t="s">
        <v>854</v>
      </c>
      <c r="E962" s="227">
        <v>8860</v>
      </c>
      <c r="F962" s="2"/>
      <c r="G962" s="2"/>
      <c r="H962" s="2"/>
      <c r="I962" s="2"/>
      <c r="J962" s="2"/>
      <c r="K962" s="2"/>
      <c r="L962" s="2"/>
      <c r="M962" s="2"/>
      <c r="N962" s="2"/>
    </row>
    <row r="963" spans="3:14" ht="15.75">
      <c r="C963" s="2"/>
      <c r="D963" s="15" t="s">
        <v>855</v>
      </c>
      <c r="E963" s="227">
        <v>9160</v>
      </c>
      <c r="F963" s="2"/>
      <c r="G963" s="2"/>
      <c r="H963" s="2"/>
      <c r="I963" s="2"/>
      <c r="J963" s="2"/>
      <c r="K963" s="2"/>
      <c r="L963" s="2"/>
      <c r="M963" s="2"/>
      <c r="N963" s="2"/>
    </row>
    <row r="964" spans="3:14" ht="15.75">
      <c r="C964" s="2"/>
      <c r="D964" s="15" t="s">
        <v>856</v>
      </c>
      <c r="E964" s="227">
        <v>9300</v>
      </c>
      <c r="F964" s="2"/>
      <c r="G964" s="2"/>
      <c r="H964" s="2"/>
      <c r="I964" s="2"/>
      <c r="J964" s="2"/>
      <c r="K964" s="2"/>
      <c r="L964" s="2"/>
      <c r="M964" s="2"/>
      <c r="N964" s="2"/>
    </row>
    <row r="965" spans="3:14" ht="16.5" thickBot="1">
      <c r="C965" s="2"/>
      <c r="D965" s="148" t="s">
        <v>857</v>
      </c>
      <c r="E965" s="229" t="s">
        <v>858</v>
      </c>
      <c r="F965" s="2"/>
      <c r="G965" s="2"/>
      <c r="H965" s="2"/>
      <c r="I965" s="2"/>
      <c r="J965" s="2"/>
      <c r="K965" s="2"/>
      <c r="L965" s="2"/>
      <c r="M965" s="2"/>
      <c r="N965" s="2"/>
    </row>
    <row r="966" spans="3:14">
      <c r="C966" s="2"/>
      <c r="D966" s="893" t="s">
        <v>859</v>
      </c>
      <c r="E966" s="893"/>
      <c r="F966" s="893"/>
      <c r="G966" s="893"/>
      <c r="H966" s="893"/>
      <c r="I966" s="893"/>
      <c r="J966" s="893"/>
      <c r="K966" s="893"/>
      <c r="L966" s="893"/>
      <c r="M966" s="905"/>
      <c r="N966" s="2"/>
    </row>
    <row r="967" spans="3:14">
      <c r="C967" s="2"/>
      <c r="D967" s="2"/>
      <c r="E967" s="2"/>
      <c r="F967" s="2"/>
      <c r="G967" s="2"/>
      <c r="H967" s="2"/>
      <c r="I967" s="2"/>
      <c r="J967" s="2"/>
      <c r="K967" s="2"/>
      <c r="L967" s="2"/>
      <c r="M967" s="2"/>
      <c r="N967" s="2"/>
    </row>
    <row r="968" spans="3:14" ht="15.75">
      <c r="C968" s="218" t="s">
        <v>860</v>
      </c>
      <c r="D968" s="219" t="s">
        <v>861</v>
      </c>
      <c r="E968" s="220"/>
      <c r="F968" s="220"/>
      <c r="G968" s="220"/>
      <c r="H968" s="220"/>
      <c r="I968" s="220"/>
      <c r="J968" s="220"/>
      <c r="K968" s="220"/>
      <c r="L968" s="220"/>
      <c r="M968" s="221"/>
      <c r="N968" s="2"/>
    </row>
    <row r="969" spans="3:14" ht="16.5" thickBot="1">
      <c r="C969" s="230"/>
      <c r="D969" s="231"/>
      <c r="E969" s="2"/>
      <c r="F969" s="2"/>
      <c r="G969" s="2"/>
      <c r="H969" s="2"/>
      <c r="I969" s="2"/>
      <c r="J969" s="2"/>
      <c r="K969" s="2"/>
      <c r="L969" s="2"/>
      <c r="M969" s="2"/>
      <c r="N969" s="2"/>
    </row>
    <row r="970" spans="3:14" ht="26.25" thickBot="1">
      <c r="C970" s="2"/>
      <c r="D970" s="232" t="s">
        <v>862</v>
      </c>
      <c r="E970" s="233" t="s">
        <v>863</v>
      </c>
      <c r="F970" s="898" t="s">
        <v>864</v>
      </c>
      <c r="G970" s="899"/>
      <c r="H970" s="899"/>
      <c r="I970" s="900"/>
      <c r="J970" s="2"/>
      <c r="K970" s="2"/>
      <c r="L970" s="2"/>
      <c r="M970" s="2"/>
      <c r="N970" s="2"/>
    </row>
    <row r="971" spans="3:14">
      <c r="C971" s="2"/>
      <c r="D971" s="162" t="s">
        <v>865</v>
      </c>
      <c r="E971" s="234">
        <v>16</v>
      </c>
      <c r="F971" s="901" t="s">
        <v>866</v>
      </c>
      <c r="G971" s="902"/>
      <c r="H971" s="902"/>
      <c r="I971" s="903"/>
      <c r="J971" s="235"/>
      <c r="K971" s="2"/>
      <c r="L971" s="2"/>
      <c r="M971" s="2"/>
      <c r="N971" s="2"/>
    </row>
    <row r="972" spans="3:14">
      <c r="C972" s="2"/>
      <c r="D972" s="15" t="s">
        <v>867</v>
      </c>
      <c r="E972" s="236">
        <v>14</v>
      </c>
      <c r="F972" s="887" t="s">
        <v>868</v>
      </c>
      <c r="G972" s="888"/>
      <c r="H972" s="888"/>
      <c r="I972" s="889"/>
      <c r="J972" s="235"/>
      <c r="K972" s="2"/>
      <c r="L972" s="2"/>
      <c r="M972" s="2"/>
      <c r="N972" s="2"/>
    </row>
    <row r="973" spans="3:14">
      <c r="C973" s="2"/>
      <c r="D973" s="15" t="s">
        <v>869</v>
      </c>
      <c r="E973" s="236">
        <v>19</v>
      </c>
      <c r="F973" s="887" t="s">
        <v>870</v>
      </c>
      <c r="G973" s="888"/>
      <c r="H973" s="888"/>
      <c r="I973" s="889"/>
      <c r="J973" s="235"/>
      <c r="K973" s="2"/>
      <c r="L973" s="2"/>
      <c r="M973" s="2"/>
      <c r="N973" s="2"/>
    </row>
    <row r="974" spans="3:14">
      <c r="C974" s="2"/>
      <c r="D974" s="15" t="s">
        <v>871</v>
      </c>
      <c r="E974" s="236">
        <v>2100</v>
      </c>
      <c r="F974" s="887" t="s">
        <v>872</v>
      </c>
      <c r="G974" s="888"/>
      <c r="H974" s="888"/>
      <c r="I974" s="889"/>
      <c r="J974" s="235"/>
      <c r="K974" s="2"/>
      <c r="L974" s="2"/>
      <c r="M974" s="2"/>
      <c r="N974" s="2"/>
    </row>
    <row r="975" spans="3:14">
      <c r="C975" s="2"/>
      <c r="D975" s="15" t="s">
        <v>873</v>
      </c>
      <c r="E975" s="236">
        <v>1330</v>
      </c>
      <c r="F975" s="887" t="s">
        <v>874</v>
      </c>
      <c r="G975" s="888"/>
      <c r="H975" s="888"/>
      <c r="I975" s="889"/>
      <c r="J975" s="235"/>
      <c r="K975" s="2"/>
      <c r="L975" s="2"/>
      <c r="M975" s="2"/>
      <c r="N975" s="2"/>
    </row>
    <row r="976" spans="3:14">
      <c r="C976" s="2"/>
      <c r="D976" s="15" t="s">
        <v>875</v>
      </c>
      <c r="E976" s="236">
        <v>3444</v>
      </c>
      <c r="F976" s="887" t="s">
        <v>876</v>
      </c>
      <c r="G976" s="888"/>
      <c r="H976" s="888"/>
      <c r="I976" s="889"/>
      <c r="J976" s="235"/>
      <c r="K976" s="2"/>
      <c r="L976" s="2"/>
      <c r="M976" s="2"/>
      <c r="N976" s="2"/>
    </row>
    <row r="977" spans="3:14">
      <c r="C977" s="2"/>
      <c r="D977" s="15" t="s">
        <v>877</v>
      </c>
      <c r="E977" s="236">
        <v>3922</v>
      </c>
      <c r="F977" s="887" t="s">
        <v>878</v>
      </c>
      <c r="G977" s="888"/>
      <c r="H977" s="888"/>
      <c r="I977" s="889"/>
      <c r="J977" s="235"/>
      <c r="K977" s="2"/>
      <c r="L977" s="2"/>
      <c r="M977" s="2"/>
      <c r="N977" s="2"/>
    </row>
    <row r="978" spans="3:14">
      <c r="C978" s="2"/>
      <c r="D978" s="15" t="s">
        <v>879</v>
      </c>
      <c r="E978" s="236">
        <v>0</v>
      </c>
      <c r="F978" s="887" t="s">
        <v>880</v>
      </c>
      <c r="G978" s="888"/>
      <c r="H978" s="888"/>
      <c r="I978" s="889"/>
      <c r="J978" s="235"/>
      <c r="K978" s="2"/>
      <c r="L978" s="2"/>
      <c r="M978" s="2"/>
      <c r="N978" s="2"/>
    </row>
    <row r="979" spans="3:14">
      <c r="C979" s="2"/>
      <c r="D979" s="15" t="s">
        <v>881</v>
      </c>
      <c r="E979" s="236">
        <v>2107</v>
      </c>
      <c r="F979" s="887" t="s">
        <v>882</v>
      </c>
      <c r="G979" s="888"/>
      <c r="H979" s="888"/>
      <c r="I979" s="889"/>
      <c r="J979" s="235"/>
      <c r="K979" s="2"/>
      <c r="L979" s="2"/>
      <c r="M979" s="2"/>
      <c r="N979" s="2"/>
    </row>
    <row r="980" spans="3:14">
      <c r="C980" s="2"/>
      <c r="D980" s="15" t="s">
        <v>883</v>
      </c>
      <c r="E980" s="236">
        <v>2804</v>
      </c>
      <c r="F980" s="887" t="s">
        <v>884</v>
      </c>
      <c r="G980" s="888"/>
      <c r="H980" s="888"/>
      <c r="I980" s="889"/>
      <c r="J980" s="235"/>
      <c r="K980" s="2"/>
      <c r="L980" s="2"/>
      <c r="M980" s="2"/>
      <c r="N980" s="2"/>
    </row>
    <row r="981" spans="3:14">
      <c r="C981" s="2"/>
      <c r="D981" s="15" t="s">
        <v>885</v>
      </c>
      <c r="E981" s="236">
        <v>1774</v>
      </c>
      <c r="F981" s="887" t="s">
        <v>886</v>
      </c>
      <c r="G981" s="888"/>
      <c r="H981" s="888"/>
      <c r="I981" s="889"/>
      <c r="J981" s="235"/>
      <c r="K981" s="2"/>
      <c r="L981" s="2"/>
      <c r="M981" s="2"/>
      <c r="N981" s="2"/>
    </row>
    <row r="982" spans="3:14">
      <c r="C982" s="2"/>
      <c r="D982" s="15" t="s">
        <v>887</v>
      </c>
      <c r="E982" s="236">
        <v>1627</v>
      </c>
      <c r="F982" s="887" t="s">
        <v>888</v>
      </c>
      <c r="G982" s="888"/>
      <c r="H982" s="888"/>
      <c r="I982" s="889"/>
      <c r="J982" s="235"/>
      <c r="K982" s="2"/>
      <c r="L982" s="2"/>
      <c r="M982" s="2"/>
      <c r="N982" s="2"/>
    </row>
    <row r="983" spans="3:14">
      <c r="C983" s="2"/>
      <c r="D983" s="15" t="s">
        <v>889</v>
      </c>
      <c r="E983" s="236">
        <v>1552</v>
      </c>
      <c r="F983" s="887" t="s">
        <v>890</v>
      </c>
      <c r="G983" s="888"/>
      <c r="H983" s="888"/>
      <c r="I983" s="889"/>
      <c r="J983" s="235"/>
      <c r="K983" s="2"/>
      <c r="L983" s="2"/>
      <c r="M983" s="2"/>
      <c r="N983" s="2"/>
    </row>
    <row r="984" spans="3:14">
      <c r="C984" s="2"/>
      <c r="D984" s="15" t="s">
        <v>891</v>
      </c>
      <c r="E984" s="236">
        <v>2301</v>
      </c>
      <c r="F984" s="887" t="s">
        <v>892</v>
      </c>
      <c r="G984" s="888"/>
      <c r="H984" s="888"/>
      <c r="I984" s="889"/>
      <c r="J984" s="235"/>
      <c r="K984" s="2"/>
      <c r="L984" s="2"/>
      <c r="M984" s="2"/>
      <c r="N984" s="2"/>
    </row>
    <row r="985" spans="3:14">
      <c r="C985" s="2"/>
      <c r="D985" s="15" t="s">
        <v>893</v>
      </c>
      <c r="E985" s="236">
        <v>0</v>
      </c>
      <c r="F985" s="887" t="s">
        <v>894</v>
      </c>
      <c r="G985" s="888"/>
      <c r="H985" s="888"/>
      <c r="I985" s="889"/>
      <c r="J985" s="235"/>
      <c r="K985" s="2"/>
      <c r="L985" s="2"/>
      <c r="M985" s="2"/>
      <c r="N985" s="2"/>
    </row>
    <row r="986" spans="3:14">
      <c r="C986" s="2"/>
      <c r="D986" s="15" t="s">
        <v>895</v>
      </c>
      <c r="E986" s="236">
        <v>2088</v>
      </c>
      <c r="F986" s="887" t="s">
        <v>896</v>
      </c>
      <c r="G986" s="888"/>
      <c r="H986" s="888"/>
      <c r="I986" s="889"/>
      <c r="J986" s="235"/>
      <c r="K986" s="2"/>
      <c r="L986" s="2"/>
      <c r="M986" s="2"/>
      <c r="N986" s="2"/>
    </row>
    <row r="987" spans="3:14">
      <c r="C987" s="2"/>
      <c r="D987" s="15" t="s">
        <v>897</v>
      </c>
      <c r="E987" s="236">
        <v>2229</v>
      </c>
      <c r="F987" s="887" t="s">
        <v>898</v>
      </c>
      <c r="G987" s="888"/>
      <c r="H987" s="888"/>
      <c r="I987" s="889"/>
      <c r="J987" s="235"/>
      <c r="K987" s="2"/>
      <c r="L987" s="2"/>
      <c r="M987" s="2"/>
      <c r="N987" s="2"/>
    </row>
    <row r="988" spans="3:14">
      <c r="C988" s="2"/>
      <c r="D988" s="15" t="s">
        <v>899</v>
      </c>
      <c r="E988" s="236">
        <v>14</v>
      </c>
      <c r="F988" s="887" t="s">
        <v>900</v>
      </c>
      <c r="G988" s="888"/>
      <c r="H988" s="888"/>
      <c r="I988" s="889"/>
      <c r="J988" s="235"/>
      <c r="K988" s="2"/>
      <c r="L988" s="2"/>
      <c r="M988" s="2"/>
      <c r="N988" s="2"/>
    </row>
    <row r="989" spans="3:14">
      <c r="C989" s="2"/>
      <c r="D989" s="15" t="s">
        <v>901</v>
      </c>
      <c r="E989" s="236">
        <v>4</v>
      </c>
      <c r="F989" s="887" t="s">
        <v>902</v>
      </c>
      <c r="G989" s="888"/>
      <c r="H989" s="888"/>
      <c r="I989" s="889"/>
      <c r="J989" s="235"/>
      <c r="K989" s="2"/>
      <c r="L989" s="2"/>
      <c r="M989" s="2"/>
      <c r="N989" s="2"/>
    </row>
    <row r="990" spans="3:14">
      <c r="C990" s="2"/>
      <c r="D990" s="15" t="s">
        <v>903</v>
      </c>
      <c r="E990" s="236">
        <v>2053</v>
      </c>
      <c r="F990" s="887" t="s">
        <v>904</v>
      </c>
      <c r="G990" s="888"/>
      <c r="H990" s="888"/>
      <c r="I990" s="889"/>
      <c r="J990" s="235"/>
      <c r="K990" s="2"/>
      <c r="L990" s="2"/>
      <c r="M990" s="2"/>
      <c r="N990" s="2"/>
    </row>
    <row r="991" spans="3:14">
      <c r="C991" s="2"/>
      <c r="D991" s="15" t="s">
        <v>905</v>
      </c>
      <c r="E991" s="236">
        <v>0</v>
      </c>
      <c r="F991" s="887" t="s">
        <v>906</v>
      </c>
      <c r="G991" s="888"/>
      <c r="H991" s="888"/>
      <c r="I991" s="889"/>
      <c r="J991" s="235"/>
      <c r="K991" s="2"/>
      <c r="L991" s="2"/>
      <c r="M991" s="2"/>
      <c r="N991" s="2"/>
    </row>
    <row r="992" spans="3:14">
      <c r="C992" s="2"/>
      <c r="D992" s="15" t="s">
        <v>907</v>
      </c>
      <c r="E992" s="236">
        <v>0</v>
      </c>
      <c r="F992" s="887" t="s">
        <v>908</v>
      </c>
      <c r="G992" s="888"/>
      <c r="H992" s="888"/>
      <c r="I992" s="889"/>
      <c r="J992" s="235"/>
      <c r="K992" s="2"/>
      <c r="L992" s="2"/>
      <c r="M992" s="2"/>
      <c r="N992" s="2"/>
    </row>
    <row r="993" spans="3:15">
      <c r="C993" s="2"/>
      <c r="D993" s="15" t="s">
        <v>909</v>
      </c>
      <c r="E993" s="236">
        <v>2346</v>
      </c>
      <c r="F993" s="887" t="s">
        <v>910</v>
      </c>
      <c r="G993" s="888"/>
      <c r="H993" s="888"/>
      <c r="I993" s="889"/>
      <c r="J993" s="235"/>
      <c r="K993" s="2"/>
      <c r="L993" s="2"/>
      <c r="M993" s="2"/>
      <c r="N993" s="2"/>
    </row>
    <row r="994" spans="3:15">
      <c r="C994" s="2"/>
      <c r="D994" s="15" t="s">
        <v>911</v>
      </c>
      <c r="E994" s="236">
        <v>3143</v>
      </c>
      <c r="F994" s="887" t="s">
        <v>912</v>
      </c>
      <c r="G994" s="888"/>
      <c r="H994" s="888"/>
      <c r="I994" s="889"/>
      <c r="J994" s="235"/>
      <c r="K994" s="2"/>
      <c r="L994" s="2"/>
      <c r="M994" s="2"/>
      <c r="N994" s="2"/>
    </row>
    <row r="995" spans="3:15">
      <c r="C995" s="2"/>
      <c r="D995" s="15" t="s">
        <v>913</v>
      </c>
      <c r="E995" s="236">
        <v>2729</v>
      </c>
      <c r="F995" s="887" t="s">
        <v>914</v>
      </c>
      <c r="G995" s="888"/>
      <c r="H995" s="888"/>
      <c r="I995" s="889"/>
      <c r="J995" s="235"/>
      <c r="K995" s="2"/>
      <c r="L995" s="2"/>
      <c r="M995" s="2"/>
      <c r="N995" s="2"/>
    </row>
    <row r="996" spans="3:15">
      <c r="C996" s="2"/>
      <c r="D996" s="15" t="s">
        <v>915</v>
      </c>
      <c r="E996" s="236">
        <v>2280</v>
      </c>
      <c r="F996" s="887" t="s">
        <v>916</v>
      </c>
      <c r="G996" s="888"/>
      <c r="H996" s="888"/>
      <c r="I996" s="889"/>
      <c r="J996" s="235"/>
      <c r="K996" s="2"/>
      <c r="L996" s="2"/>
      <c r="M996" s="2"/>
      <c r="N996" s="2"/>
    </row>
    <row r="997" spans="3:15">
      <c r="C997" s="2"/>
      <c r="D997" s="15" t="s">
        <v>917</v>
      </c>
      <c r="E997" s="236">
        <v>2440</v>
      </c>
      <c r="F997" s="895" t="s">
        <v>918</v>
      </c>
      <c r="G997" s="896"/>
      <c r="H997" s="896"/>
      <c r="I997" s="897"/>
      <c r="J997" s="235"/>
      <c r="K997" s="2"/>
      <c r="L997" s="2"/>
      <c r="M997" s="2"/>
      <c r="N997" s="2"/>
    </row>
    <row r="998" spans="3:15">
      <c r="C998" s="2"/>
      <c r="D998" s="15" t="s">
        <v>919</v>
      </c>
      <c r="E998" s="236">
        <v>1508</v>
      </c>
      <c r="F998" s="895" t="s">
        <v>920</v>
      </c>
      <c r="G998" s="896"/>
      <c r="H998" s="896"/>
      <c r="I998" s="897"/>
      <c r="J998" s="235"/>
      <c r="K998" s="2"/>
      <c r="L998" s="2"/>
      <c r="M998" s="2"/>
      <c r="N998" s="2"/>
    </row>
    <row r="999" spans="3:15">
      <c r="C999" s="2"/>
      <c r="D999" s="15" t="s">
        <v>921</v>
      </c>
      <c r="E999" s="236">
        <v>3607</v>
      </c>
      <c r="F999" s="887" t="s">
        <v>922</v>
      </c>
      <c r="G999" s="888"/>
      <c r="H999" s="888"/>
      <c r="I999" s="889"/>
      <c r="J999" s="235"/>
      <c r="K999" s="2"/>
      <c r="L999" s="2"/>
      <c r="M999" s="2"/>
      <c r="N999" s="2"/>
    </row>
    <row r="1000" spans="3:15">
      <c r="C1000" s="2"/>
      <c r="D1000" s="15" t="s">
        <v>923</v>
      </c>
      <c r="E1000" s="237">
        <v>3245</v>
      </c>
      <c r="F1000" s="895" t="s">
        <v>924</v>
      </c>
      <c r="G1000" s="896"/>
      <c r="H1000" s="896"/>
      <c r="I1000" s="897"/>
      <c r="J1000" s="235"/>
      <c r="K1000" s="2"/>
      <c r="L1000" s="2"/>
      <c r="M1000" s="2"/>
      <c r="N1000" s="2"/>
    </row>
    <row r="1001" spans="3:15">
      <c r="C1001" s="2"/>
      <c r="D1001" s="238" t="s">
        <v>925</v>
      </c>
      <c r="E1001" s="236">
        <v>32</v>
      </c>
      <c r="F1001" s="887" t="s">
        <v>926</v>
      </c>
      <c r="G1001" s="888"/>
      <c r="H1001" s="888"/>
      <c r="I1001" s="889"/>
      <c r="J1001" s="235"/>
      <c r="K1001" s="2"/>
      <c r="L1001" s="2"/>
      <c r="M1001" s="2"/>
      <c r="N1001" s="2"/>
    </row>
    <row r="1002" spans="3:15">
      <c r="C1002" s="2"/>
      <c r="D1002" s="238" t="s">
        <v>927</v>
      </c>
      <c r="E1002" s="236">
        <v>0</v>
      </c>
      <c r="F1002" s="887" t="s">
        <v>928</v>
      </c>
      <c r="G1002" s="888"/>
      <c r="H1002" s="888"/>
      <c r="I1002" s="889"/>
      <c r="J1002" s="235"/>
      <c r="K1002" s="2"/>
      <c r="L1002" s="2"/>
      <c r="M1002" s="2"/>
      <c r="N1002" s="2"/>
    </row>
    <row r="1003" spans="3:15">
      <c r="C1003" s="2"/>
      <c r="D1003" s="238" t="s">
        <v>929</v>
      </c>
      <c r="E1003" s="236">
        <v>325</v>
      </c>
      <c r="F1003" s="887" t="s">
        <v>930</v>
      </c>
      <c r="G1003" s="888"/>
      <c r="H1003" s="888"/>
      <c r="I1003" s="889"/>
      <c r="J1003" s="235"/>
      <c r="K1003" s="2"/>
      <c r="L1003" s="2"/>
      <c r="M1003" s="2"/>
      <c r="N1003" s="2"/>
    </row>
    <row r="1004" spans="3:15">
      <c r="C1004" s="2"/>
      <c r="D1004" s="238" t="s">
        <v>931</v>
      </c>
      <c r="E1004" s="236">
        <v>3985</v>
      </c>
      <c r="F1004" s="887" t="s">
        <v>932</v>
      </c>
      <c r="G1004" s="888"/>
      <c r="H1004" s="888"/>
      <c r="I1004" s="889"/>
      <c r="J1004" s="235"/>
      <c r="K1004" s="2"/>
      <c r="L1004" s="2"/>
      <c r="M1004" s="2"/>
      <c r="N1004" s="2"/>
    </row>
    <row r="1005" spans="3:15">
      <c r="C1005" s="2"/>
      <c r="D1005" s="15" t="s">
        <v>933</v>
      </c>
      <c r="E1005" s="236">
        <v>13214</v>
      </c>
      <c r="F1005" s="887" t="s">
        <v>934</v>
      </c>
      <c r="G1005" s="888"/>
      <c r="H1005" s="888"/>
      <c r="I1005" s="889"/>
      <c r="J1005" s="235"/>
      <c r="K1005" s="2"/>
      <c r="L1005" s="2"/>
      <c r="M1005" s="2"/>
      <c r="N1005" s="2"/>
    </row>
    <row r="1006" spans="3:15" ht="15.75" thickBot="1">
      <c r="C1006" s="2"/>
      <c r="D1006" s="148" t="s">
        <v>935</v>
      </c>
      <c r="E1006" s="239">
        <v>13396</v>
      </c>
      <c r="F1006" s="890" t="s">
        <v>936</v>
      </c>
      <c r="G1006" s="891"/>
      <c r="H1006" s="891"/>
      <c r="I1006" s="892"/>
      <c r="J1006" s="235"/>
      <c r="K1006" s="2"/>
      <c r="L1006" s="2"/>
      <c r="M1006" s="2"/>
      <c r="N1006" s="2"/>
    </row>
    <row r="1007" spans="3:15">
      <c r="C1007" s="92"/>
      <c r="D1007" s="893" t="s">
        <v>937</v>
      </c>
      <c r="E1007" s="893"/>
      <c r="F1007" s="893"/>
      <c r="G1007" s="893"/>
      <c r="H1007" s="893"/>
      <c r="I1007" s="893"/>
      <c r="J1007" s="893"/>
      <c r="K1007" s="893"/>
      <c r="L1007" s="893"/>
      <c r="M1007" s="60"/>
      <c r="N1007" s="144"/>
    </row>
    <row r="1008" spans="3:15">
      <c r="G1008" s="894"/>
      <c r="H1008" s="894"/>
      <c r="I1008" s="894"/>
      <c r="J1008" s="894"/>
      <c r="K1008" s="894"/>
      <c r="L1008" s="894"/>
      <c r="M1008" s="894"/>
      <c r="N1008" s="894"/>
      <c r="O1008" s="894"/>
    </row>
  </sheetData>
  <mergeCells count="307">
    <mergeCell ref="F1000:I1000"/>
    <mergeCell ref="F1001:I1001"/>
    <mergeCell ref="F1002:I1002"/>
    <mergeCell ref="F1003:I1003"/>
    <mergeCell ref="F1004:I1004"/>
    <mergeCell ref="F1005:I1005"/>
    <mergeCell ref="F1006:I1006"/>
    <mergeCell ref="D1007:L1007"/>
    <mergeCell ref="G1008:O1008"/>
    <mergeCell ref="F991:I991"/>
    <mergeCell ref="F992:I992"/>
    <mergeCell ref="F993:I993"/>
    <mergeCell ref="F994:I994"/>
    <mergeCell ref="F995:I995"/>
    <mergeCell ref="F996:I996"/>
    <mergeCell ref="F997:I997"/>
    <mergeCell ref="F998:I998"/>
    <mergeCell ref="F999:I999"/>
    <mergeCell ref="F982:I982"/>
    <mergeCell ref="F983:I983"/>
    <mergeCell ref="F984:I984"/>
    <mergeCell ref="F985:I985"/>
    <mergeCell ref="F986:I986"/>
    <mergeCell ref="F987:I987"/>
    <mergeCell ref="F988:I988"/>
    <mergeCell ref="F989:I989"/>
    <mergeCell ref="F990:I990"/>
    <mergeCell ref="F973:I973"/>
    <mergeCell ref="F974:I974"/>
    <mergeCell ref="F975:I975"/>
    <mergeCell ref="F976:I976"/>
    <mergeCell ref="F977:I977"/>
    <mergeCell ref="F978:I978"/>
    <mergeCell ref="F979:I979"/>
    <mergeCell ref="F980:I980"/>
    <mergeCell ref="F981:I981"/>
    <mergeCell ref="C815:C818"/>
    <mergeCell ref="H940:N940"/>
    <mergeCell ref="H941:N941"/>
    <mergeCell ref="H948:N948"/>
    <mergeCell ref="H949:N949"/>
    <mergeCell ref="D966:M966"/>
    <mergeCell ref="F970:I970"/>
    <mergeCell ref="F971:I971"/>
    <mergeCell ref="F972:I972"/>
    <mergeCell ref="C787:C794"/>
    <mergeCell ref="D787:D788"/>
    <mergeCell ref="D789:D790"/>
    <mergeCell ref="D791:D792"/>
    <mergeCell ref="D793:D794"/>
    <mergeCell ref="C799:C802"/>
    <mergeCell ref="D799:D800"/>
    <mergeCell ref="D801:D802"/>
    <mergeCell ref="C807:C810"/>
    <mergeCell ref="F773:I773"/>
    <mergeCell ref="J773:M773"/>
    <mergeCell ref="N773:Q773"/>
    <mergeCell ref="R773:U773"/>
    <mergeCell ref="V773:Y773"/>
    <mergeCell ref="Z773:AC773"/>
    <mergeCell ref="AD773:AG773"/>
    <mergeCell ref="AH773:AK773"/>
    <mergeCell ref="C775:C782"/>
    <mergeCell ref="D775:D776"/>
    <mergeCell ref="D777:D778"/>
    <mergeCell ref="D779:D780"/>
    <mergeCell ref="D781:D782"/>
    <mergeCell ref="C746:C748"/>
    <mergeCell ref="F751:I751"/>
    <mergeCell ref="J751:M751"/>
    <mergeCell ref="N751:Q751"/>
    <mergeCell ref="R751:U751"/>
    <mergeCell ref="V751:Y751"/>
    <mergeCell ref="C753:C770"/>
    <mergeCell ref="D753:D754"/>
    <mergeCell ref="D755:D756"/>
    <mergeCell ref="D757:D758"/>
    <mergeCell ref="D759:D760"/>
    <mergeCell ref="D761:D762"/>
    <mergeCell ref="D763:D764"/>
    <mergeCell ref="D765:D766"/>
    <mergeCell ref="D767:D768"/>
    <mergeCell ref="D769:D770"/>
    <mergeCell ref="C717:C724"/>
    <mergeCell ref="D717:D718"/>
    <mergeCell ref="D719:D720"/>
    <mergeCell ref="D721:D722"/>
    <mergeCell ref="D723:D724"/>
    <mergeCell ref="G727:J727"/>
    <mergeCell ref="K727:N727"/>
    <mergeCell ref="C729:C742"/>
    <mergeCell ref="D730:D732"/>
    <mergeCell ref="D733:D737"/>
    <mergeCell ref="D738:D742"/>
    <mergeCell ref="F703:I703"/>
    <mergeCell ref="J703:M703"/>
    <mergeCell ref="N703:Q703"/>
    <mergeCell ref="R703:U703"/>
    <mergeCell ref="V703:Y703"/>
    <mergeCell ref="Z703:AC703"/>
    <mergeCell ref="AD703:AG703"/>
    <mergeCell ref="AH703:AK703"/>
    <mergeCell ref="C705:C712"/>
    <mergeCell ref="D705:D706"/>
    <mergeCell ref="D707:D708"/>
    <mergeCell ref="D709:D710"/>
    <mergeCell ref="D711:D712"/>
    <mergeCell ref="N681:Q681"/>
    <mergeCell ref="R681:U681"/>
    <mergeCell ref="V681:Y681"/>
    <mergeCell ref="C683:C700"/>
    <mergeCell ref="D683:D684"/>
    <mergeCell ref="D685:D686"/>
    <mergeCell ref="D687:D688"/>
    <mergeCell ref="D689:D690"/>
    <mergeCell ref="D691:D692"/>
    <mergeCell ref="D693:D694"/>
    <mergeCell ref="D695:D696"/>
    <mergeCell ref="D697:D698"/>
    <mergeCell ref="D699:D700"/>
    <mergeCell ref="D524:L524"/>
    <mergeCell ref="D526:L526"/>
    <mergeCell ref="D602:D603"/>
    <mergeCell ref="D609:D611"/>
    <mergeCell ref="D612:D614"/>
    <mergeCell ref="D651:H651"/>
    <mergeCell ref="D664:M664"/>
    <mergeCell ref="D665:M665"/>
    <mergeCell ref="F681:I681"/>
    <mergeCell ref="J681:M681"/>
    <mergeCell ref="W498:Z498"/>
    <mergeCell ref="W499:Z499"/>
    <mergeCell ref="U500:AC500"/>
    <mergeCell ref="W492:Z492"/>
    <mergeCell ref="W493:Z493"/>
    <mergeCell ref="W494:Z494"/>
    <mergeCell ref="W495:Z495"/>
    <mergeCell ref="W496:Z496"/>
    <mergeCell ref="W497:Z497"/>
    <mergeCell ref="W486:Z486"/>
    <mergeCell ref="W487:Z487"/>
    <mergeCell ref="W488:Z488"/>
    <mergeCell ref="W489:Z489"/>
    <mergeCell ref="W490:Z490"/>
    <mergeCell ref="W491:Z491"/>
    <mergeCell ref="W480:Z480"/>
    <mergeCell ref="W481:Z481"/>
    <mergeCell ref="W482:Z482"/>
    <mergeCell ref="W483:Z483"/>
    <mergeCell ref="W484:Z484"/>
    <mergeCell ref="W485:Z485"/>
    <mergeCell ref="W474:Z474"/>
    <mergeCell ref="W475:Z475"/>
    <mergeCell ref="W476:Z476"/>
    <mergeCell ref="W477:Z477"/>
    <mergeCell ref="W478:Z478"/>
    <mergeCell ref="W479:Z479"/>
    <mergeCell ref="W468:Z468"/>
    <mergeCell ref="W469:Z469"/>
    <mergeCell ref="W470:Z470"/>
    <mergeCell ref="W471:Z471"/>
    <mergeCell ref="W472:Z472"/>
    <mergeCell ref="W473:Z473"/>
    <mergeCell ref="U459:AD459"/>
    <mergeCell ref="W463:Z463"/>
    <mergeCell ref="W464:Z464"/>
    <mergeCell ref="W465:Z465"/>
    <mergeCell ref="W466:Z466"/>
    <mergeCell ref="W467:Z467"/>
    <mergeCell ref="Q299:Q302"/>
    <mergeCell ref="Q307:Q310"/>
    <mergeCell ref="Y433:AE433"/>
    <mergeCell ref="Y434:AE434"/>
    <mergeCell ref="Y441:AE441"/>
    <mergeCell ref="Y442:AE442"/>
    <mergeCell ref="AV265:AY265"/>
    <mergeCell ref="Q267:Q274"/>
    <mergeCell ref="R267:R268"/>
    <mergeCell ref="R269:R270"/>
    <mergeCell ref="R271:R272"/>
    <mergeCell ref="R273:R274"/>
    <mergeCell ref="X265:AA265"/>
    <mergeCell ref="AB265:AE265"/>
    <mergeCell ref="AF265:AI265"/>
    <mergeCell ref="AJ265:AM265"/>
    <mergeCell ref="AN265:AQ265"/>
    <mergeCell ref="AR265:AU265"/>
    <mergeCell ref="T265:W265"/>
    <mergeCell ref="Q279:Q286"/>
    <mergeCell ref="R279:R280"/>
    <mergeCell ref="R281:R282"/>
    <mergeCell ref="R283:R284"/>
    <mergeCell ref="R285:R286"/>
    <mergeCell ref="AF243:AI243"/>
    <mergeCell ref="Q291:Q294"/>
    <mergeCell ref="R291:R292"/>
    <mergeCell ref="R293:R294"/>
    <mergeCell ref="AJ243:AM243"/>
    <mergeCell ref="Q245:Q262"/>
    <mergeCell ref="R245:R246"/>
    <mergeCell ref="R247:R248"/>
    <mergeCell ref="R249:R250"/>
    <mergeCell ref="R251:R252"/>
    <mergeCell ref="Y219:AB219"/>
    <mergeCell ref="Q221:Q234"/>
    <mergeCell ref="R222:R224"/>
    <mergeCell ref="R225:R229"/>
    <mergeCell ref="R230:R234"/>
    <mergeCell ref="Q238:Q240"/>
    <mergeCell ref="R253:R254"/>
    <mergeCell ref="R255:R256"/>
    <mergeCell ref="R257:R258"/>
    <mergeCell ref="R259:R260"/>
    <mergeCell ref="R261:R262"/>
    <mergeCell ref="T243:W243"/>
    <mergeCell ref="X243:AA243"/>
    <mergeCell ref="AB243:AE243"/>
    <mergeCell ref="Q209:Q216"/>
    <mergeCell ref="R209:R210"/>
    <mergeCell ref="R211:R212"/>
    <mergeCell ref="R213:R214"/>
    <mergeCell ref="R215:R216"/>
    <mergeCell ref="U219:X219"/>
    <mergeCell ref="AN195:AQ195"/>
    <mergeCell ref="AR195:AU195"/>
    <mergeCell ref="AV195:AY195"/>
    <mergeCell ref="Q197:Q204"/>
    <mergeCell ref="R197:R198"/>
    <mergeCell ref="R199:R200"/>
    <mergeCell ref="R201:R202"/>
    <mergeCell ref="R203:R204"/>
    <mergeCell ref="R191:R192"/>
    <mergeCell ref="T195:W195"/>
    <mergeCell ref="X195:AA195"/>
    <mergeCell ref="AB195:AE195"/>
    <mergeCell ref="AF195:AI195"/>
    <mergeCell ref="AJ195:AM195"/>
    <mergeCell ref="AJ173:AM173"/>
    <mergeCell ref="Q175:Q192"/>
    <mergeCell ref="R175:R176"/>
    <mergeCell ref="R177:R178"/>
    <mergeCell ref="R179:R180"/>
    <mergeCell ref="R181:R182"/>
    <mergeCell ref="R183:R184"/>
    <mergeCell ref="R185:R186"/>
    <mergeCell ref="R187:R188"/>
    <mergeCell ref="R189:R190"/>
    <mergeCell ref="R156:AA156"/>
    <mergeCell ref="R157:AA157"/>
    <mergeCell ref="T173:W173"/>
    <mergeCell ref="X173:AA173"/>
    <mergeCell ref="AB173:AE173"/>
    <mergeCell ref="AF173:AI173"/>
    <mergeCell ref="R16:Z16"/>
    <mergeCell ref="R18:Z18"/>
    <mergeCell ref="R94:R95"/>
    <mergeCell ref="R101:R103"/>
    <mergeCell ref="R104:R106"/>
    <mergeCell ref="R143:V143"/>
    <mergeCell ref="B239:B242"/>
    <mergeCell ref="C239:C240"/>
    <mergeCell ref="C241:C242"/>
    <mergeCell ref="B208:B222"/>
    <mergeCell ref="C208:C210"/>
    <mergeCell ref="C211:C213"/>
    <mergeCell ref="C214:C216"/>
    <mergeCell ref="C217:C219"/>
    <mergeCell ref="C220:C222"/>
    <mergeCell ref="B187:B204"/>
    <mergeCell ref="C187:C189"/>
    <mergeCell ref="C190:C192"/>
    <mergeCell ref="C193:C195"/>
    <mergeCell ref="C196:C198"/>
    <mergeCell ref="C199:C201"/>
    <mergeCell ref="C202:C204"/>
    <mergeCell ref="B227:B234"/>
    <mergeCell ref="C227:C228"/>
    <mergeCell ref="C229:C230"/>
    <mergeCell ref="C231:C232"/>
    <mergeCell ref="C233:C234"/>
    <mergeCell ref="C152:C155"/>
    <mergeCell ref="C156:C159"/>
    <mergeCell ref="C160:C163"/>
    <mergeCell ref="C164:C167"/>
    <mergeCell ref="C168:C171"/>
    <mergeCell ref="C172:C175"/>
    <mergeCell ref="B116:B183"/>
    <mergeCell ref="C116:C119"/>
    <mergeCell ref="C120:C123"/>
    <mergeCell ref="C124:C127"/>
    <mergeCell ref="C128:C131"/>
    <mergeCell ref="C132:C135"/>
    <mergeCell ref="C136:C139"/>
    <mergeCell ref="C140:C143"/>
    <mergeCell ref="C144:C147"/>
    <mergeCell ref="C148:C151"/>
    <mergeCell ref="C176:C179"/>
    <mergeCell ref="C180:C183"/>
    <mergeCell ref="C82:K82"/>
    <mergeCell ref="C84:K84"/>
    <mergeCell ref="B89:B112"/>
    <mergeCell ref="C89:C92"/>
    <mergeCell ref="C93:C96"/>
    <mergeCell ref="C97:C100"/>
    <mergeCell ref="C101:C104"/>
    <mergeCell ref="C105:C108"/>
    <mergeCell ref="C109:C112"/>
  </mergeCells>
  <hyperlinks>
    <hyperlink ref="C83" r:id="rId1" location="ap40.23.98_19.1" xr:uid="{903B5962-C298-4999-ADC9-7D5DD505D15F}"/>
    <hyperlink ref="R17" r:id="rId2" location="ap40.23.98_19.1" xr:uid="{131FF9AE-3FD0-41A8-9C69-C7008284E589}"/>
    <hyperlink ref="D525" r:id="rId3" location="ap40.23.98_19.1" xr:uid="{9CEB7AF1-5FCB-4CBE-805E-2E25786CB40B}"/>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6EAF004DEB10441B0D9C61B422D6CAC" ma:contentTypeVersion="12" ma:contentTypeDescription="Create a new document." ma:contentTypeScope="" ma:versionID="666df3f16a4b8bb108d52d1f84178d15">
  <xsd:schema xmlns:xsd="http://www.w3.org/2001/XMLSchema" xmlns:xs="http://www.w3.org/2001/XMLSchema" xmlns:p="http://schemas.microsoft.com/office/2006/metadata/properties" xmlns:ns3="2e1b6779-8fee-4425-adeb-b03ac36cbfbf" xmlns:ns4="1b4a4de2-7079-4326-881a-52ce0aaf5328" targetNamespace="http://schemas.microsoft.com/office/2006/metadata/properties" ma:root="true" ma:fieldsID="337e094c36fee5aa6b06dc38f3297e9b" ns3:_="" ns4:_="">
    <xsd:import namespace="2e1b6779-8fee-4425-adeb-b03ac36cbfbf"/>
    <xsd:import namespace="1b4a4de2-7079-4326-881a-52ce0aaf5328"/>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1b6779-8fee-4425-adeb-b03ac36cbfb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b4a4de2-7079-4326-881a-52ce0aaf5328"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EE439C4-7BC3-4391-87E1-6D95335D73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e1b6779-8fee-4425-adeb-b03ac36cbfbf"/>
    <ds:schemaRef ds:uri="1b4a4de2-7079-4326-881a-52ce0aaf532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E38E0BA-7B9B-4AF9-BD08-D581DFD9956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F8937E2E-15BF-4FCA-A41C-3E6F86F7AAE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45</vt:i4>
      </vt:variant>
    </vt:vector>
  </HeadingPairs>
  <TitlesOfParts>
    <vt:vector size="58" baseType="lpstr">
      <vt:lpstr>Introduction</vt:lpstr>
      <vt:lpstr>Instructions</vt:lpstr>
      <vt:lpstr>Parameters</vt:lpstr>
      <vt:lpstr>Emission Factors</vt:lpstr>
      <vt:lpstr>S1-Stationary Combustion</vt:lpstr>
      <vt:lpstr>S1-Mobile Combustion</vt:lpstr>
      <vt:lpstr>S1-Refrigerants</vt:lpstr>
      <vt:lpstr>S2-Purchased Electricity</vt:lpstr>
      <vt:lpstr>S3-Transportation</vt:lpstr>
      <vt:lpstr>Results Summary</vt:lpstr>
      <vt:lpstr>Dropdowns</vt:lpstr>
      <vt:lpstr>Conversions</vt:lpstr>
      <vt:lpstr>Data</vt:lpstr>
      <vt:lpstr>Introduction!Área_de_impresión</vt:lpstr>
      <vt:lpstr>'Results Summary'!Área_de_impresión</vt:lpstr>
      <vt:lpstr>Aviation_Gasoline</vt:lpstr>
      <vt:lpstr>Biodiesel</vt:lpstr>
      <vt:lpstr>CNG</vt:lpstr>
      <vt:lpstr>DEFRA_EC_BT</vt:lpstr>
      <vt:lpstr>Diesel_Fuel</vt:lpstr>
      <vt:lpstr>EC_BT_UK_DEFRA_Air</vt:lpstr>
      <vt:lpstr>EC_BT_UK_DEFRA_Air_RF</vt:lpstr>
      <vt:lpstr>EC_BT_UK_DEFRA_Bus</vt:lpstr>
      <vt:lpstr>EC_BT_UK_DEFRA_Car</vt:lpstr>
      <vt:lpstr>EC_BT_UK_DEFRA_Ferry</vt:lpstr>
      <vt:lpstr>EC_BT_UK_DEFRA_Rail</vt:lpstr>
      <vt:lpstr>EC_BT_US_EPA_Air</vt:lpstr>
      <vt:lpstr>EC_BT_US_EPA_Bus</vt:lpstr>
      <vt:lpstr>EC_BT_US_EPA_Car</vt:lpstr>
      <vt:lpstr>EC_BT_US_EPA_Rail</vt:lpstr>
      <vt:lpstr>Ethanol</vt:lpstr>
      <vt:lpstr>Facility_ID</vt:lpstr>
      <vt:lpstr>Fuel_Source</vt:lpstr>
      <vt:lpstr>Fuel_Source_Dropdown</vt:lpstr>
      <vt:lpstr>Heat_Steam</vt:lpstr>
      <vt:lpstr>Jet_Fuel</vt:lpstr>
      <vt:lpstr>Location_Based_EF</vt:lpstr>
      <vt:lpstr>Market_Based_EF</vt:lpstr>
      <vt:lpstr>Motor_Gasoline</vt:lpstr>
      <vt:lpstr>PE_Heat_Custom_EF</vt:lpstr>
      <vt:lpstr>PE_LB_Custom_EF</vt:lpstr>
      <vt:lpstr>PE_MB_Custom_EF</vt:lpstr>
      <vt:lpstr>S1_MC_Custom_EF</vt:lpstr>
      <vt:lpstr>S1_Ref_Custom_EF</vt:lpstr>
      <vt:lpstr>S1_SC_Custom_EF</vt:lpstr>
      <vt:lpstr>S3_Custom_EF</vt:lpstr>
      <vt:lpstr>Scope3_Dropdown</vt:lpstr>
      <vt:lpstr>T_D_UK_DEFRA_Air</vt:lpstr>
      <vt:lpstr>T_D_UK_DEFRA_Air_RF</vt:lpstr>
      <vt:lpstr>T_D_UK_DEFRA_Car</vt:lpstr>
      <vt:lpstr>T_D_UK_DEFRA_Ferry</vt:lpstr>
      <vt:lpstr>T_D_UK_DEFRA_Rail</vt:lpstr>
      <vt:lpstr>T_D_US_EPA_Air</vt:lpstr>
      <vt:lpstr>T_D_US_EPA_Car</vt:lpstr>
      <vt:lpstr>T_D_US_EPA_Ferry</vt:lpstr>
      <vt:lpstr>T_D_US_EPA_Rail</vt:lpstr>
      <vt:lpstr>UK_DEFRA</vt:lpstr>
      <vt:lpstr>US_EPA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Noor Shaikh</dc:creator>
  <cp:keywords/>
  <dc:description/>
  <cp:lastModifiedBy>Juan Pablo López Zapata</cp:lastModifiedBy>
  <cp:revision/>
  <dcterms:created xsi:type="dcterms:W3CDTF">2020-03-25T19:32:13Z</dcterms:created>
  <dcterms:modified xsi:type="dcterms:W3CDTF">2023-08-23T15:58:38Z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4b114e3e-63fd-488d-ac24-ac92737d3fac</vt:lpwstr>
  </property>
  <property fmtid="{D5CDD505-2E9C-101B-9397-08002B2CF9AE}" pid="3" name="ContentTypeId">
    <vt:lpwstr>0x01010076EAF004DEB10441B0D9C61B422D6CAC</vt:lpwstr>
  </property>
</Properties>
</file>